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X:\Service Facilities\Templates\"/>
    </mc:Choice>
  </mc:AlternateContent>
  <xr:revisionPtr revIDLastSave="0" documentId="14_{7ECCCC87-DDEF-4C3E-82A1-CA09AD53C9E6}" xr6:coauthVersionLast="45" xr6:coauthVersionMax="45" xr10:uidLastSave="{00000000-0000-0000-0000-000000000000}"/>
  <bookViews>
    <workbookView xWindow="-120" yWindow="-120" windowWidth="29040" windowHeight="17640" xr2:uid="{00000000-000D-0000-FFFF-FFFF00000000}"/>
  </bookViews>
  <sheets>
    <sheet name="Summary" sheetId="7" r:id="rId1"/>
    <sheet name="Rate Calculations" sheetId="1" r:id="rId2"/>
    <sheet name="S&amp;W" sheetId="4" r:id="rId3"/>
    <sheet name="Assets" sheetId="9" r:id="rId4"/>
  </sheets>
  <definedNames>
    <definedName name="_xlnm._FilterDatabase" localSheetId="3" hidden="1">Assets!$A$18:$AK$18</definedName>
    <definedName name="Allocations">OFFSET('Rate Calculations'!$A$3,2,0,(COUNTA('Rate Calculations'!$A$3:$A$10)-1)*2-1,1)</definedName>
    <definedName name="Data_Range">OFFSET(Assets!$C$18,0,0,COUNTA(Assets!$C:$C)-1,COUNTA(Assets!$18:$18))</definedName>
    <definedName name="_xlnm.Print_Titles" localSheetId="3">Assets!$18:$18</definedName>
    <definedName name="Salaries">'S&amp;W'!$P$7:$T$22</definedName>
    <definedName name="Total_Staff">'S&amp;W'!$A$22</definedName>
    <definedName name="Units">OFFSET('S&amp;W'!$J$7,0,0,1,COUNTA('S&amp;W'!$J$7:$N$7)-1)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0" i="9" l="1"/>
  <c r="AC11" i="9"/>
  <c r="AG7" i="9"/>
  <c r="AF8" i="9"/>
  <c r="AF9" i="9" s="1"/>
  <c r="AG8" i="9" l="1"/>
  <c r="AG9" i="9" s="1"/>
  <c r="AH7" i="9"/>
  <c r="AC12" i="9"/>
  <c r="AD11" i="9"/>
  <c r="AI7" i="9" l="1"/>
  <c r="AH8" i="9"/>
  <c r="AH9" i="9" s="1"/>
  <c r="AC13" i="9"/>
  <c r="AD12" i="9"/>
  <c r="AI8" i="9" l="1"/>
  <c r="AI9" i="9" s="1"/>
  <c r="AE9" i="9" s="1"/>
  <c r="AF13" i="9"/>
  <c r="AH13" i="9"/>
  <c r="AI13" i="9"/>
  <c r="AG13" i="9"/>
  <c r="AD13" i="9"/>
  <c r="AE13" i="9" l="1"/>
  <c r="E44" i="7" l="1"/>
  <c r="A35" i="1"/>
  <c r="C29" i="1"/>
  <c r="C30" i="1"/>
  <c r="C21" i="1" l="1"/>
  <c r="C20" i="1"/>
  <c r="C19" i="1"/>
  <c r="G14" i="1"/>
  <c r="C8" i="1"/>
  <c r="G9" i="1" s="1"/>
  <c r="B9" i="1"/>
  <c r="C6" i="1"/>
  <c r="G7" i="1" s="1"/>
  <c r="AI11" i="9" s="1"/>
  <c r="B7" i="1"/>
  <c r="B5" i="1"/>
  <c r="G16" i="1" l="1"/>
  <c r="AI12" i="9"/>
  <c r="D9" i="1"/>
  <c r="E9" i="1"/>
  <c r="F9" i="1"/>
  <c r="D7" i="1"/>
  <c r="E7" i="1"/>
  <c r="F7" i="1"/>
  <c r="E14" i="1" l="1"/>
  <c r="AG11" i="9"/>
  <c r="D16" i="1"/>
  <c r="AF12" i="9"/>
  <c r="D14" i="1"/>
  <c r="AF11" i="9"/>
  <c r="F16" i="1"/>
  <c r="AH12" i="9"/>
  <c r="F14" i="1"/>
  <c r="AH11" i="9"/>
  <c r="E16" i="1"/>
  <c r="AG12" i="9"/>
  <c r="C9" i="1"/>
  <c r="C7" i="1"/>
  <c r="AE12" i="9" l="1"/>
  <c r="AE11" i="9"/>
  <c r="AI5" i="9"/>
  <c r="AI3" i="9"/>
  <c r="AI4" i="9"/>
  <c r="AG17" i="9"/>
  <c r="AJ17" i="9"/>
  <c r="AI17" i="9"/>
  <c r="AH17" i="9"/>
  <c r="AF17" i="9"/>
  <c r="AE17" i="9"/>
  <c r="AD17" i="9"/>
  <c r="D21" i="4" l="1"/>
  <c r="D20" i="4"/>
  <c r="E20" i="4" s="1"/>
  <c r="F20" i="4" s="1"/>
  <c r="D19" i="4"/>
  <c r="E19" i="4" s="1"/>
  <c r="F19" i="4" s="1"/>
  <c r="D18" i="4"/>
  <c r="D17" i="4"/>
  <c r="D16" i="4"/>
  <c r="E16" i="4" s="1"/>
  <c r="F16" i="4" s="1"/>
  <c r="D15" i="4"/>
  <c r="D14" i="4"/>
  <c r="E14" i="4" s="1"/>
  <c r="D13" i="4"/>
  <c r="E13" i="4" s="1"/>
  <c r="D12" i="4"/>
  <c r="E12" i="4" s="1"/>
  <c r="F12" i="4" s="1"/>
  <c r="D11" i="4"/>
  <c r="E11" i="4" s="1"/>
  <c r="F11" i="4" s="1"/>
  <c r="D10" i="4"/>
  <c r="E10" i="4" s="1"/>
  <c r="D9" i="4"/>
  <c r="E7" i="4"/>
  <c r="D8" i="4"/>
  <c r="E8" i="4" s="1"/>
  <c r="F8" i="4" s="1"/>
  <c r="E15" i="4" l="1"/>
  <c r="F15" i="4" s="1"/>
  <c r="F14" i="4"/>
  <c r="E18" i="4"/>
  <c r="F18" i="4" s="1"/>
  <c r="E9" i="4"/>
  <c r="F9" i="4" s="1"/>
  <c r="F10" i="4"/>
  <c r="F13" i="4"/>
  <c r="E17" i="4"/>
  <c r="F17" i="4" s="1"/>
  <c r="E21" i="4"/>
  <c r="F21" i="4" s="1"/>
  <c r="D22" i="4"/>
  <c r="H8" i="4"/>
  <c r="C2" i="1" l="1"/>
  <c r="B45" i="7" l="1"/>
  <c r="D40" i="7"/>
  <c r="E37" i="7" s="1"/>
  <c r="E40" i="7" s="1"/>
  <c r="D35" i="7"/>
  <c r="E30" i="7" s="1"/>
  <c r="E35" i="7" s="1"/>
  <c r="F30" i="7" s="1"/>
  <c r="C34" i="1" s="1"/>
  <c r="F29" i="7"/>
  <c r="E29" i="7"/>
  <c r="D29" i="7"/>
  <c r="C36" i="1" l="1"/>
  <c r="B46" i="7"/>
  <c r="B47" i="7"/>
  <c r="B48" i="7" l="1"/>
  <c r="B49" i="7" l="1"/>
  <c r="B50" i="7" l="1"/>
  <c r="D2" i="1"/>
  <c r="S7" i="4"/>
  <c r="R7" i="4"/>
  <c r="Q7" i="4"/>
  <c r="P7" i="4"/>
  <c r="C44" i="7" l="1"/>
  <c r="E1" i="1"/>
  <c r="E45" i="7" l="1"/>
  <c r="F1" i="1"/>
  <c r="E2" i="1"/>
  <c r="E46" i="7" l="1"/>
  <c r="C45" i="7"/>
  <c r="D50" i="7"/>
  <c r="G1" i="1"/>
  <c r="F2" i="1"/>
  <c r="E48" i="7" l="1"/>
  <c r="E49" i="7"/>
  <c r="E50" i="7"/>
  <c r="C50" i="7"/>
  <c r="C49" i="7"/>
  <c r="C46" i="7"/>
  <c r="F50" i="7"/>
  <c r="G2" i="1"/>
  <c r="D49" i="7"/>
  <c r="F49" i="7" s="1"/>
  <c r="D48" i="7"/>
  <c r="C48" i="7"/>
  <c r="C47" i="7" l="1"/>
  <c r="F48" i="7"/>
  <c r="C4" i="1" l="1"/>
  <c r="G5" i="1" l="1"/>
  <c r="F5" i="1"/>
  <c r="E5" i="1"/>
  <c r="D5" i="1"/>
  <c r="C22" i="4"/>
  <c r="N9" i="4"/>
  <c r="H10" i="4"/>
  <c r="N10" i="4"/>
  <c r="H11" i="4"/>
  <c r="N11" i="4"/>
  <c r="H12" i="4"/>
  <c r="N12" i="4"/>
  <c r="H13" i="4"/>
  <c r="N13" i="4"/>
  <c r="H14" i="4"/>
  <c r="N14" i="4"/>
  <c r="H15" i="4"/>
  <c r="N15" i="4"/>
  <c r="H16" i="4"/>
  <c r="N16" i="4"/>
  <c r="H17" i="4"/>
  <c r="N17" i="4"/>
  <c r="H18" i="4"/>
  <c r="N18" i="4"/>
  <c r="H19" i="4"/>
  <c r="N19" i="4"/>
  <c r="H20" i="4"/>
  <c r="N20" i="4"/>
  <c r="H21" i="4"/>
  <c r="N21" i="4"/>
  <c r="N8" i="4"/>
  <c r="AG10" i="9" l="1"/>
  <c r="AG14" i="9" s="1"/>
  <c r="AG15" i="9" s="1"/>
  <c r="E23" i="1" s="1"/>
  <c r="E42" i="1"/>
  <c r="E35" i="1"/>
  <c r="E34" i="1"/>
  <c r="AF10" i="9"/>
  <c r="AF14" i="9" s="1"/>
  <c r="D42" i="1"/>
  <c r="D35" i="1"/>
  <c r="D34" i="1"/>
  <c r="AH10" i="9"/>
  <c r="AH14" i="9" s="1"/>
  <c r="AH15" i="9" s="1"/>
  <c r="F23" i="1" s="1"/>
  <c r="F42" i="1"/>
  <c r="F35" i="1"/>
  <c r="F34" i="1"/>
  <c r="AI10" i="9"/>
  <c r="G42" i="1"/>
  <c r="G35" i="1"/>
  <c r="G34" i="1"/>
  <c r="E17" i="1"/>
  <c r="E15" i="1"/>
  <c r="F17" i="1"/>
  <c r="F15" i="1"/>
  <c r="C5" i="1"/>
  <c r="D17" i="1"/>
  <c r="D15" i="1"/>
  <c r="G17" i="1"/>
  <c r="G15" i="1"/>
  <c r="H9" i="4"/>
  <c r="H22" i="4" s="1"/>
  <c r="F22" i="4"/>
  <c r="R8" i="4"/>
  <c r="S8" i="4"/>
  <c r="Q8" i="4"/>
  <c r="P8" i="4"/>
  <c r="E22" i="4"/>
  <c r="Q20" i="4"/>
  <c r="R20" i="4"/>
  <c r="S20" i="4"/>
  <c r="P20" i="4"/>
  <c r="Q16" i="4"/>
  <c r="R16" i="4"/>
  <c r="S16" i="4"/>
  <c r="P16" i="4"/>
  <c r="Q14" i="4"/>
  <c r="R14" i="4"/>
  <c r="P14" i="4"/>
  <c r="S14" i="4"/>
  <c r="Q10" i="4"/>
  <c r="P10" i="4"/>
  <c r="R10" i="4"/>
  <c r="S10" i="4"/>
  <c r="Q12" i="4"/>
  <c r="R12" i="4"/>
  <c r="P12" i="4"/>
  <c r="S12" i="4"/>
  <c r="Q18" i="4"/>
  <c r="P18" i="4"/>
  <c r="R18" i="4"/>
  <c r="S18" i="4"/>
  <c r="Q21" i="4"/>
  <c r="R21" i="4"/>
  <c r="P21" i="4"/>
  <c r="S21" i="4"/>
  <c r="Q19" i="4"/>
  <c r="R19" i="4"/>
  <c r="P19" i="4"/>
  <c r="S19" i="4"/>
  <c r="Q17" i="4"/>
  <c r="R17" i="4"/>
  <c r="S17" i="4"/>
  <c r="P17" i="4"/>
  <c r="Q15" i="4"/>
  <c r="P15" i="4"/>
  <c r="R15" i="4"/>
  <c r="S15" i="4"/>
  <c r="Q13" i="4"/>
  <c r="R13" i="4"/>
  <c r="P13" i="4"/>
  <c r="S13" i="4"/>
  <c r="Q11" i="4"/>
  <c r="R11" i="4"/>
  <c r="S11" i="4"/>
  <c r="P11" i="4"/>
  <c r="R9" i="4"/>
  <c r="P9" i="4"/>
  <c r="AE10" i="9" l="1"/>
  <c r="AI14" i="9"/>
  <c r="AI15" i="9" s="1"/>
  <c r="G23" i="1" s="1"/>
  <c r="AF15" i="9"/>
  <c r="AE14" i="9"/>
  <c r="Q9" i="4"/>
  <c r="S9" i="4"/>
  <c r="T8" i="4"/>
  <c r="T11" i="4"/>
  <c r="P22" i="4"/>
  <c r="D12" i="1" s="1"/>
  <c r="T17" i="4"/>
  <c r="T16" i="4"/>
  <c r="Q22" i="4"/>
  <c r="E12" i="1" s="1"/>
  <c r="S22" i="4"/>
  <c r="G12" i="1" s="1"/>
  <c r="R22" i="4"/>
  <c r="F12" i="1" s="1"/>
  <c r="T20" i="4"/>
  <c r="T9" i="4"/>
  <c r="T13" i="4"/>
  <c r="T19" i="4"/>
  <c r="T21" i="4"/>
  <c r="T12" i="4"/>
  <c r="T14" i="4"/>
  <c r="T15" i="4"/>
  <c r="T18" i="4"/>
  <c r="T10" i="4"/>
  <c r="D23" i="1" l="1"/>
  <c r="AE15" i="9"/>
  <c r="AE16" i="9" s="1"/>
  <c r="AF16" i="9" s="1"/>
  <c r="C23" i="1" s="1"/>
  <c r="F34" i="7" s="1"/>
  <c r="G36" i="1"/>
  <c r="F36" i="1"/>
  <c r="E36" i="1"/>
  <c r="T22" i="4"/>
  <c r="Q23" i="4" s="1"/>
  <c r="S23" i="4" l="1"/>
  <c r="R23" i="4"/>
  <c r="C12" i="1"/>
  <c r="P23" i="4"/>
  <c r="C24" i="1" l="1"/>
  <c r="F33" i="7" s="1"/>
  <c r="G24" i="1"/>
  <c r="G26" i="1" s="1"/>
  <c r="E47" i="7" s="1"/>
  <c r="D24" i="1"/>
  <c r="D26" i="1" s="1"/>
  <c r="F24" i="1"/>
  <c r="F26" i="1" s="1"/>
  <c r="E24" i="1"/>
  <c r="E26" i="1" s="1"/>
  <c r="D31" i="1" l="1"/>
  <c r="F38" i="1"/>
  <c r="F39" i="1" s="1"/>
  <c r="F31" i="1"/>
  <c r="G38" i="1"/>
  <c r="G39" i="1" s="1"/>
  <c r="G31" i="1"/>
  <c r="E38" i="1"/>
  <c r="E39" i="1" s="1"/>
  <c r="E31" i="1"/>
  <c r="C26" i="1"/>
  <c r="C38" i="1" s="1"/>
  <c r="D36" i="1" l="1"/>
  <c r="D38" i="1" s="1"/>
  <c r="D39" i="1" s="1"/>
  <c r="D44" i="7" l="1"/>
  <c r="F44" i="7" s="1"/>
  <c r="D44" i="1"/>
  <c r="G44" i="1"/>
  <c r="F44" i="1"/>
  <c r="E44" i="1"/>
  <c r="C43" i="1"/>
  <c r="C44" i="1" s="1"/>
  <c r="F46" i="1" l="1"/>
  <c r="F47" i="1" s="1"/>
  <c r="G46" i="1"/>
  <c r="G47" i="1" s="1"/>
  <c r="G52" i="1"/>
  <c r="E46" i="1"/>
  <c r="E47" i="1" s="1"/>
  <c r="D46" i="1"/>
  <c r="D47" i="1" s="1"/>
  <c r="D51" i="1" s="1"/>
  <c r="D52" i="1" s="1"/>
  <c r="G51" i="1"/>
  <c r="D47" i="7"/>
  <c r="F47" i="7" s="1"/>
  <c r="F51" i="1"/>
  <c r="F52" i="1" s="1"/>
  <c r="D46" i="7"/>
  <c r="F46" i="7" s="1"/>
  <c r="E51" i="1"/>
  <c r="E52" i="1" s="1"/>
  <c r="D45" i="7"/>
  <c r="F45" i="7" s="1"/>
  <c r="F32" i="7"/>
  <c r="C46" i="1"/>
  <c r="C52" i="1" l="1"/>
  <c r="F51" i="7"/>
  <c r="F31" i="7" s="1"/>
  <c r="F35" i="7" s="1"/>
  <c r="C51" i="1"/>
</calcChain>
</file>

<file path=xl/sharedStrings.xml><?xml version="1.0" encoding="utf-8"?>
<sst xmlns="http://schemas.openxmlformats.org/spreadsheetml/2006/main" count="329" uniqueCount="218">
  <si>
    <t>Cornell University</t>
  </si>
  <si>
    <t>Recharge Entity - Rate Review Template</t>
  </si>
  <si>
    <t>College/Division</t>
  </si>
  <si>
    <t>Department</t>
  </si>
  <si>
    <t>Accounts</t>
  </si>
  <si>
    <t>Operations</t>
  </si>
  <si>
    <t>Replacement &amp; Renewal</t>
  </si>
  <si>
    <t>External Up‐charge</t>
  </si>
  <si>
    <t>Description of Facility</t>
  </si>
  <si>
    <t>Facility Type (check one)</t>
  </si>
  <si>
    <t>Recharge Operation (&lt;$50,000/yr)</t>
  </si>
  <si>
    <t>Service Facility (&gt;50,000 &lt;2M/yr)</t>
  </si>
  <si>
    <t>Institutional Recharge Operation (&gt;$2M/yr)</t>
  </si>
  <si>
    <t>Specialized Service Center (Officially Designated, &gt; $2M/yr)</t>
  </si>
  <si>
    <t>Date of Submission</t>
  </si>
  <si>
    <t>Period of Rate Request</t>
  </si>
  <si>
    <t>Facility Manager</t>
  </si>
  <si>
    <t>Revenue</t>
  </si>
  <si>
    <t>Capital Expenditures</t>
  </si>
  <si>
    <t>Depreciation Transfer</t>
  </si>
  <si>
    <t>Beginning of Year Balance</t>
  </si>
  <si>
    <t>Depreciation</t>
  </si>
  <si>
    <t>Requested Rate</t>
  </si>
  <si>
    <t>Unit of Measure</t>
  </si>
  <si>
    <t>Good or Service</t>
  </si>
  <si>
    <t>Forecasted Output</t>
  </si>
  <si>
    <t>Funds Received</t>
  </si>
  <si>
    <t>Rate Calculation Details (or attach additional pages)</t>
  </si>
  <si>
    <t>Name</t>
  </si>
  <si>
    <t>From</t>
  </si>
  <si>
    <t>To</t>
  </si>
  <si>
    <t>Job description</t>
  </si>
  <si>
    <t>Annual S&amp;W</t>
  </si>
  <si>
    <t>EFFORT IN %</t>
  </si>
  <si>
    <t>Total</t>
  </si>
  <si>
    <t>S&amp;W&amp;B</t>
  </si>
  <si>
    <t>Total Staff</t>
  </si>
  <si>
    <t>Enter Fringe Benefit Rate (%)</t>
  </si>
  <si>
    <t>Expenses</t>
  </si>
  <si>
    <t>Communication</t>
  </si>
  <si>
    <t>Fees/Insur/Licences/Taxes</t>
  </si>
  <si>
    <t>Repairs &amp; Maintenance</t>
  </si>
  <si>
    <t>Supplies</t>
  </si>
  <si>
    <t>SALARY &amp; WAGE EFFORTS</t>
  </si>
  <si>
    <t>% of effort</t>
  </si>
  <si>
    <t>Asset Total Cost</t>
  </si>
  <si>
    <t>In Service Date</t>
  </si>
  <si>
    <t>Service Rate Flag</t>
  </si>
  <si>
    <t>Asset Description</t>
  </si>
  <si>
    <t>Tag Number</t>
  </si>
  <si>
    <t>Asset Number</t>
  </si>
  <si>
    <t>Dept Org Name</t>
  </si>
  <si>
    <t>Dept Org</t>
  </si>
  <si>
    <t>Total Subsidies</t>
  </si>
  <si>
    <t>Surplus (+) or Deficit (-) from Prior Year</t>
  </si>
  <si>
    <t>Requested Rate(s)</t>
  </si>
  <si>
    <t>Repl &amp; Renl Acct Beginning Balance</t>
  </si>
  <si>
    <t>Accumulated Depreciation Amount</t>
  </si>
  <si>
    <t>YTD Depreciation Amount</t>
  </si>
  <si>
    <t>Previous Year Depreciation Amount</t>
  </si>
  <si>
    <t>Projected Depreciation Expense in the Next Fiscal Year</t>
  </si>
  <si>
    <t>Proposed Rates</t>
  </si>
  <si>
    <t>Order#</t>
  </si>
  <si>
    <t>Unit Name</t>
  </si>
  <si>
    <t>Subsidy #1</t>
  </si>
  <si>
    <t>Subsidy #2</t>
  </si>
  <si>
    <t>Repl &amp; Renl Acct Ending Balance</t>
  </si>
  <si>
    <t>Subsidy (requested year only)</t>
  </si>
  <si>
    <t>Expense (less depreciation)</t>
  </si>
  <si>
    <t>Depreciation / Transfers</t>
  </si>
  <si>
    <t>Surplus (+) or Deficit (-)</t>
  </si>
  <si>
    <t>Estimated Billable Units</t>
  </si>
  <si>
    <t>Total Expenses</t>
  </si>
  <si>
    <t>Surplus/Deficits</t>
  </si>
  <si>
    <t>Subsidies</t>
  </si>
  <si>
    <t>Misc / Other</t>
  </si>
  <si>
    <t>Subtotal Salary &amp; Wages &amp; Benefits</t>
  </si>
  <si>
    <t xml:space="preserve">Subtotal Non-Salary </t>
  </si>
  <si>
    <t>Total Expenses +/- Surplus/Deficit</t>
  </si>
  <si>
    <t>Calculated Rates Prior to Surplus &amp; Subsidy</t>
  </si>
  <si>
    <t>Calculated Rates with Surplus/Deficit</t>
  </si>
  <si>
    <t>SIP %</t>
  </si>
  <si>
    <t>Annual Salary with SIP</t>
  </si>
  <si>
    <t>Total Wages and Benefits</t>
  </si>
  <si>
    <t>% of Time Allocated to Facility</t>
  </si>
  <si>
    <t>Total Wages and Benefits Charged to Facility</t>
  </si>
  <si>
    <t>Total
(must = 100%)</t>
  </si>
  <si>
    <t>Total Expense +/- Surplus/Deficit - Subsidies</t>
  </si>
  <si>
    <t>Calculated Rates with Surplus &amp; Subsidies</t>
  </si>
  <si>
    <t>JR Tolken</t>
  </si>
  <si>
    <t>Clark Kent</t>
  </si>
  <si>
    <t>S.B. Anthony</t>
  </si>
  <si>
    <t>Technical Writer</t>
  </si>
  <si>
    <t>Supervisor</t>
  </si>
  <si>
    <t>Leader</t>
  </si>
  <si>
    <t>Automation Expert</t>
  </si>
  <si>
    <t>Surplus/Deficit Adjustments</t>
  </si>
  <si>
    <t>Subtotal Surplus/Deficit dialed into rates</t>
  </si>
  <si>
    <t>SUMMARY</t>
  </si>
  <si>
    <t>All</t>
  </si>
  <si>
    <t>Y</t>
  </si>
  <si>
    <t>Projected Depreciation Expenseover the Next 12 Months</t>
  </si>
  <si>
    <t>Org Owner Account Number</t>
  </si>
  <si>
    <t>Old Tag Number</t>
  </si>
  <si>
    <t>Org Tag Number</t>
  </si>
  <si>
    <t>Government Tag Number</t>
  </si>
  <si>
    <t>Asset CG Agency Number</t>
  </si>
  <si>
    <t>Sub Fund Grp Name</t>
  </si>
  <si>
    <t>Sub Fund Grp</t>
  </si>
  <si>
    <t>Acquisition Type Name</t>
  </si>
  <si>
    <t>Asset Condition Code</t>
  </si>
  <si>
    <t>Org Inventory Name</t>
  </si>
  <si>
    <t>Org Notes Text</t>
  </si>
  <si>
    <t>Manufacturer Name</t>
  </si>
  <si>
    <t>Model Number</t>
  </si>
  <si>
    <t>Serial Number</t>
  </si>
  <si>
    <t>Inventory Status Code</t>
  </si>
  <si>
    <t>Inventory Status Description</t>
  </si>
  <si>
    <t>Last Inventory Date</t>
  </si>
  <si>
    <t>Building Code</t>
  </si>
  <si>
    <t>Building Name</t>
  </si>
  <si>
    <t>Room Number</t>
  </si>
  <si>
    <t>Asset Depreciation Life Limit</t>
  </si>
  <si>
    <t>Net Book Value</t>
  </si>
  <si>
    <t>Designated</t>
  </si>
  <si>
    <t>GNDEPT</t>
  </si>
  <si>
    <t>New</t>
  </si>
  <si>
    <t>A</t>
  </si>
  <si>
    <t>Active and identifiable</t>
  </si>
  <si>
    <t>Pine Tree Rd 391</t>
  </si>
  <si>
    <t>201M</t>
  </si>
  <si>
    <t>E</t>
  </si>
  <si>
    <t>Frank H T Rhodes Hall</t>
  </si>
  <si>
    <t>Dell</t>
  </si>
  <si>
    <t>Austin, Mary</t>
  </si>
  <si>
    <t>Dell Marketing LP</t>
  </si>
  <si>
    <t>EqualLogic</t>
  </si>
  <si>
    <t>N1</t>
  </si>
  <si>
    <t>Heslop, Janet C.</t>
  </si>
  <si>
    <t>PS6210E</t>
  </si>
  <si>
    <t>87VT082</t>
  </si>
  <si>
    <t>EqualLogic PS6610E - Per Quote SMPQ89980</t>
  </si>
  <si>
    <t>PS6610E</t>
  </si>
  <si>
    <t>4P19182</t>
  </si>
  <si>
    <t>Dell Server for Cornell Restricted Access Data Center</t>
  </si>
  <si>
    <t>Renewal &amp; Replacement</t>
  </si>
  <si>
    <t>RVREPL</t>
  </si>
  <si>
    <t>PowerEdge R820</t>
  </si>
  <si>
    <t>932KV12</t>
  </si>
  <si>
    <t>Blade Server Enclosure for CISER infrastructure and servers</t>
  </si>
  <si>
    <t>M1000E PowerEdge</t>
  </si>
  <si>
    <t>44NT382</t>
  </si>
  <si>
    <t>M630 Blade Server for CISER infrastructure and servers</t>
  </si>
  <si>
    <t>M630</t>
  </si>
  <si>
    <t>48HP382</t>
  </si>
  <si>
    <t>DR4300 (Base Components) for CISER infrastructure and servers</t>
  </si>
  <si>
    <t>DR4300</t>
  </si>
  <si>
    <t>J7MT382</t>
  </si>
  <si>
    <t>Lease for a Poweredge M630 Blade with Nvidia M6</t>
  </si>
  <si>
    <t>Lease - Cornell Owned</t>
  </si>
  <si>
    <t>13PNPD2</t>
  </si>
  <si>
    <t>12DLPD2</t>
  </si>
  <si>
    <t>Subtotal</t>
  </si>
  <si>
    <t>J77-7777</t>
  </si>
  <si>
    <t>J77-3877</t>
  </si>
  <si>
    <t>J77-3777</t>
  </si>
  <si>
    <t>J777</t>
  </si>
  <si>
    <t>J77A</t>
  </si>
  <si>
    <t>College of Education</t>
  </si>
  <si>
    <t>Robbie T.R.</t>
  </si>
  <si>
    <t>xxx777@cornell.edu</t>
  </si>
  <si>
    <t>Fiona Finance</t>
  </si>
  <si>
    <t>Cornell Inst for Financial Reasoning</t>
  </si>
  <si>
    <t>J777777</t>
  </si>
  <si>
    <t>E999991</t>
  </si>
  <si>
    <t>E999992</t>
  </si>
  <si>
    <t>E999993</t>
  </si>
  <si>
    <t>E999994</t>
  </si>
  <si>
    <t>E999995</t>
  </si>
  <si>
    <t>E999996</t>
  </si>
  <si>
    <t>E999997</t>
  </si>
  <si>
    <t>E999998</t>
  </si>
  <si>
    <t>Comments</t>
  </si>
  <si>
    <t># of Billing Units</t>
  </si>
  <si>
    <t>Expense Allocations</t>
  </si>
  <si>
    <t>Equipment Hours</t>
  </si>
  <si>
    <t># of Consulting Hours</t>
  </si>
  <si>
    <t>Expenses (Non-Specific, Allocated)</t>
  </si>
  <si>
    <t>Alloc #</t>
  </si>
  <si>
    <t>Expenses (Service Specific)</t>
  </si>
  <si>
    <t>This is allocated based on equipment usage provided in the "Assets" tab.</t>
  </si>
  <si>
    <t>These are expenses where costs are not specific to any one service, but instead need to be spread across the services based on one of the "Expense Allocations".</t>
  </si>
  <si>
    <t>This is allocated based on effort provided in the "S&amp;W" tab.</t>
  </si>
  <si>
    <t>Sample Costs</t>
  </si>
  <si>
    <t>Training</t>
  </si>
  <si>
    <t>Revenue Check</t>
  </si>
  <si>
    <t>Monthly</t>
  </si>
  <si>
    <t>Annual</t>
  </si>
  <si>
    <t>This is a User Fee Subsidy where all users are charged less than the total costs.  This type of subsidy will need to be spread across the services based on one of the "Expense Allocations".</t>
  </si>
  <si>
    <t>This is a User Subsidy that is specific to certain users (i.e. students). This will need to be entered into the appropriate service.</t>
  </si>
  <si>
    <t>This automatically pulls in the surplus/deficit from the Summary" tab.  This will need to be spread across the services based on one of the "Expense Allocations".</t>
  </si>
  <si>
    <t>This is if there is a large surplus/deficit where reducing this all in one year would dramatically affect prices.  Here you can adjust how much surplus/deficit is reduced in the given year, with the intent to bring to zero with two to three years.  It will use the same allocation method as selected for the total surplus/deficit.</t>
  </si>
  <si>
    <t>Suplus/(Deficit)</t>
  </si>
  <si>
    <t>This represents the surplus/(deficit) that the account will be in at the end of the year, including any subsidies and prior year-end surplus/deficits.</t>
  </si>
  <si>
    <t>These represent the different metrics that you might have within your department.  These can be used to spread out the expenses across your various billing services.</t>
  </si>
  <si>
    <t>These are expenses that can be directly related to one or multiple services.  You will need to assign these expenses to the appropriate service(s).</t>
  </si>
  <si>
    <t>Basic</t>
  </si>
  <si>
    <t>Advanced</t>
  </si>
  <si>
    <t>Consulting</t>
  </si>
  <si>
    <t>Deluxe</t>
  </si>
  <si>
    <t>Direct</t>
  </si>
  <si>
    <t>Allocated</t>
  </si>
  <si>
    <t>Total Direct</t>
  </si>
  <si>
    <t>Select Type
(Direct/
Allocated)</t>
  </si>
  <si>
    <t>Select Service/Method</t>
  </si>
  <si>
    <t>Vaeriance to table</t>
  </si>
  <si>
    <t>Total Allocated</t>
  </si>
  <si>
    <t>Send completed requests to servicefacility@cornell.edu for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</si>
</sst>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mm/dd/yy;@"/>
  </numFmts>
  <fonts count="25" x14ac:knownFonts="1">
    <font>
      <sz val="11"/>
      <color theme="1"/>
      <name val="Book Antiqua"/>
      <family val="2"/>
    </font>
    <font>
      <sz val="11"/>
      <color theme="1"/>
      <name val="Book Antiqua"/>
      <family val="2"/>
    </font>
    <font>
      <sz val="11"/>
      <color theme="1"/>
      <name val="Book Antiqua"/>
      <family val="2"/>
      <scheme val="minor"/>
    </font>
    <font>
      <b/>
      <sz val="11"/>
      <color theme="1"/>
      <name val="Book Antiqua"/>
      <family val="2"/>
      <scheme val="minor"/>
    </font>
    <font>
      <u/>
      <sz val="11"/>
      <color theme="10"/>
      <name val="Book Antiqua"/>
      <family val="2"/>
      <scheme val="minor"/>
    </font>
    <font>
      <sz val="11"/>
      <color theme="0"/>
      <name val="Book Antiqua"/>
      <family val="2"/>
      <scheme val="minor"/>
    </font>
    <font>
      <b/>
      <sz val="14"/>
      <color rgb="FFFF0000"/>
      <name val="Book Antiqua"/>
      <family val="2"/>
      <scheme val="minor"/>
    </font>
    <font>
      <b/>
      <sz val="11"/>
      <color theme="1"/>
      <name val="Book Antiqua"/>
      <family val="1"/>
      <scheme val="minor"/>
    </font>
    <font>
      <sz val="11"/>
      <color theme="1"/>
      <name val="Book Antiqua"/>
      <family val="1"/>
      <scheme val="minor"/>
    </font>
    <font>
      <b/>
      <sz val="11"/>
      <color theme="1"/>
      <name val="Book Antiqua"/>
      <family val="1"/>
    </font>
    <font>
      <sz val="11"/>
      <color theme="1"/>
      <name val="Book Antiqua"/>
      <family val="1"/>
    </font>
    <font>
      <b/>
      <sz val="11"/>
      <name val="Book Antiqua"/>
      <family val="1"/>
    </font>
    <font>
      <sz val="11"/>
      <name val="Book Antiqua"/>
      <family val="1"/>
    </font>
    <font>
      <b/>
      <sz val="17"/>
      <color theme="1"/>
      <name val="Book Antiqua"/>
      <family val="1"/>
    </font>
    <font>
      <b/>
      <i/>
      <sz val="11"/>
      <color theme="1"/>
      <name val="Book Antiqua"/>
      <family val="1"/>
    </font>
    <font>
      <b/>
      <sz val="17"/>
      <name val="Book Antiqua"/>
      <family val="1"/>
    </font>
    <font>
      <i/>
      <sz val="11"/>
      <color theme="1"/>
      <name val="Book Antiqua"/>
      <family val="1"/>
    </font>
    <font>
      <sz val="11"/>
      <color theme="1"/>
      <name val="Calibri"/>
      <family val="2"/>
    </font>
    <font>
      <b/>
      <sz val="11"/>
      <name val="Book Antiqua"/>
      <family val="1"/>
      <scheme val="minor"/>
    </font>
    <font>
      <b/>
      <i/>
      <sz val="11"/>
      <name val="Book Antiqua"/>
      <family val="1"/>
    </font>
    <font>
      <b/>
      <sz val="15"/>
      <color theme="1"/>
      <name val="Book Antiqua"/>
      <family val="1"/>
    </font>
    <font>
      <b/>
      <i/>
      <sz val="17"/>
      <name val="Book Antiqua"/>
      <family val="1"/>
    </font>
    <font>
      <b/>
      <sz val="11"/>
      <color theme="0"/>
      <name val="Book Antiqua"/>
      <family val="1"/>
      <scheme val="minor"/>
    </font>
    <font>
      <i/>
      <sz val="11"/>
      <color theme="1"/>
      <name val="Book Antiqua"/>
      <family val="1"/>
      <scheme val="minor"/>
    </font>
    <font>
      <u/>
      <sz val="11"/>
      <color theme="10"/>
      <name val="Book Antiqua"/>
      <family val="2"/>
    </font>
  </fonts>
  <fills count="29">
    <fill>
      <patternFill patternType="none"/>
    </fill>
    <fill>
      <patternFill patternType="gray125"/>
    </fill>
    <fill>
      <patternFill patternType="solid">
        <fgColor rgb="FFFFFFCC"/>
        <bgColor indexed="64"/>
      </patternFill>
    </fill>
    <fill>
      <patternFill patternType="solid">
        <fgColor rgb="FFA5DFA8"/>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2" tint="0.59999389629810485"/>
        <bgColor indexed="64"/>
      </patternFill>
    </fill>
    <fill>
      <patternFill patternType="solid">
        <fgColor theme="0" tint="-0.14999847407452621"/>
        <bgColor indexed="64"/>
      </patternFill>
    </fill>
    <fill>
      <patternFill patternType="solid">
        <fgColor theme="2"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D5B885"/>
        <bgColor indexed="64"/>
      </patternFill>
    </fill>
    <fill>
      <patternFill patternType="solid">
        <fgColor rgb="FFEDE1CB"/>
        <bgColor indexed="64"/>
      </patternFill>
    </fill>
    <fill>
      <patternFill patternType="solid">
        <fgColor rgb="FFDCCEEE"/>
        <bgColor indexed="64"/>
      </patternFill>
    </fill>
    <fill>
      <patternFill patternType="solid">
        <fgColor rgb="FFD3B5E9"/>
        <bgColor indexed="64"/>
      </patternFill>
    </fill>
    <fill>
      <patternFill patternType="solid">
        <fgColor theme="7" tint="0.79998168889431442"/>
        <bgColor indexed="64"/>
      </patternFill>
    </fill>
    <fill>
      <patternFill patternType="solid">
        <fgColor rgb="FFDFC9EF"/>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39997558519241921"/>
        <bgColor indexed="64"/>
      </patternFill>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right/>
      <top style="double">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thin">
        <color auto="1"/>
      </left>
      <right style="thin">
        <color indexed="64"/>
      </right>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thin">
        <color indexed="64"/>
      </top>
      <bottom style="double">
        <color indexed="64"/>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0" fontId="17" fillId="0" borderId="0"/>
    <xf numFmtId="0" fontId="4" fillId="0" borderId="0" applyNumberFormat="0" applyFill="0" applyBorder="0" applyAlignment="0" applyProtection="0"/>
    <xf numFmtId="0" fontId="2" fillId="0" borderId="0"/>
    <xf numFmtId="0" fontId="1" fillId="0" borderId="0"/>
    <xf numFmtId="0" fontId="24" fillId="0" borderId="0" applyNumberFormat="0" applyFill="0" applyBorder="0" applyAlignment="0" applyProtection="0"/>
  </cellStyleXfs>
  <cellXfs count="260">
    <xf numFmtId="0" fontId="0" fillId="0" borderId="0" xfId="0"/>
    <xf numFmtId="0" fontId="2" fillId="0" borderId="0" xfId="3" applyAlignment="1">
      <alignment horizontal="centerContinuous"/>
    </xf>
    <xf numFmtId="0" fontId="2" fillId="0" borderId="0" xfId="3"/>
    <xf numFmtId="0" fontId="3" fillId="0" borderId="0" xfId="3" applyFont="1" applyAlignment="1">
      <alignment horizontal="centerContinuous"/>
    </xf>
    <xf numFmtId="0" fontId="2" fillId="0" borderId="2" xfId="3" applyBorder="1"/>
    <xf numFmtId="0" fontId="2" fillId="0" borderId="3" xfId="3" applyBorder="1"/>
    <xf numFmtId="0" fontId="2" fillId="0" borderId="0" xfId="3" applyAlignment="1">
      <alignment horizontal="left"/>
    </xf>
    <xf numFmtId="0" fontId="3" fillId="0" borderId="1" xfId="3" applyFont="1" applyBorder="1"/>
    <xf numFmtId="0" fontId="2" fillId="0" borderId="5" xfId="3" applyBorder="1"/>
    <xf numFmtId="0" fontId="2" fillId="0" borderId="6" xfId="3" applyBorder="1"/>
    <xf numFmtId="0" fontId="2" fillId="0" borderId="0" xfId="3" applyBorder="1"/>
    <xf numFmtId="0" fontId="2" fillId="0" borderId="9" xfId="3" applyBorder="1"/>
    <xf numFmtId="0" fontId="2" fillId="0" borderId="5" xfId="3" applyBorder="1" applyAlignment="1">
      <alignment horizontal="center"/>
    </xf>
    <xf numFmtId="0" fontId="2" fillId="0" borderId="6" xfId="3" applyBorder="1" applyAlignment="1">
      <alignment horizontal="center"/>
    </xf>
    <xf numFmtId="0" fontId="2" fillId="0" borderId="0" xfId="3" applyBorder="1" applyAlignment="1">
      <alignment horizontal="center"/>
    </xf>
    <xf numFmtId="0" fontId="2" fillId="0" borderId="0" xfId="3" applyFill="1" applyBorder="1" applyAlignment="1">
      <alignment horizontal="center"/>
    </xf>
    <xf numFmtId="0" fontId="2" fillId="0" borderId="7" xfId="3" applyFill="1" applyBorder="1" applyAlignment="1">
      <alignment horizontal="center"/>
    </xf>
    <xf numFmtId="0" fontId="2" fillId="2" borderId="0" xfId="3" applyFill="1"/>
    <xf numFmtId="0" fontId="2" fillId="2" borderId="0" xfId="3" applyFill="1" applyAlignment="1">
      <alignment horizontal="left"/>
    </xf>
    <xf numFmtId="14" fontId="2" fillId="2" borderId="0" xfId="3" applyNumberFormat="1" applyFill="1" applyAlignment="1">
      <alignment horizontal="center"/>
    </xf>
    <xf numFmtId="0" fontId="6" fillId="0" borderId="0" xfId="3" applyFont="1" applyAlignment="1">
      <alignment horizontal="centerContinuous"/>
    </xf>
    <xf numFmtId="14" fontId="8" fillId="2" borderId="0" xfId="3" applyNumberFormat="1" applyFont="1" applyFill="1" applyAlignment="1">
      <alignment horizontal="center"/>
    </xf>
    <xf numFmtId="0" fontId="0" fillId="2" borderId="0" xfId="0" applyFill="1"/>
    <xf numFmtId="0" fontId="0" fillId="2" borderId="0" xfId="0" applyFill="1" applyAlignment="1">
      <alignment horizontal="center"/>
    </xf>
    <xf numFmtId="0" fontId="2" fillId="2" borderId="6" xfId="3" applyFill="1" applyBorder="1"/>
    <xf numFmtId="0" fontId="9" fillId="3" borderId="10" xfId="0" applyFont="1" applyFill="1" applyBorder="1" applyAlignment="1">
      <alignment horizontal="centerContinuous" vertical="center" wrapText="1"/>
    </xf>
    <xf numFmtId="0" fontId="9" fillId="4" borderId="10" xfId="0" applyFont="1" applyFill="1" applyBorder="1" applyAlignment="1">
      <alignment horizontal="centerContinuous" vertical="center" wrapText="1"/>
    </xf>
    <xf numFmtId="0" fontId="9" fillId="6" borderId="0" xfId="0" applyFont="1" applyFill="1" applyBorder="1" applyAlignment="1">
      <alignment horizontal="right"/>
    </xf>
    <xf numFmtId="0" fontId="0" fillId="6" borderId="14" xfId="0" applyFill="1" applyBorder="1"/>
    <xf numFmtId="0" fontId="0" fillId="6" borderId="15" xfId="0" applyFill="1" applyBorder="1"/>
    <xf numFmtId="0" fontId="0" fillId="6" borderId="16" xfId="0" applyFill="1" applyBorder="1"/>
    <xf numFmtId="0" fontId="0" fillId="6" borderId="17" xfId="0" applyFill="1" applyBorder="1"/>
    <xf numFmtId="0" fontId="0" fillId="6" borderId="18" xfId="0" applyFill="1" applyBorder="1"/>
    <xf numFmtId="0" fontId="0" fillId="6" borderId="19" xfId="0" applyFill="1" applyBorder="1"/>
    <xf numFmtId="0" fontId="0" fillId="6" borderId="20" xfId="0" applyFill="1" applyBorder="1"/>
    <xf numFmtId="0" fontId="0" fillId="6" borderId="21" xfId="0" applyFill="1" applyBorder="1"/>
    <xf numFmtId="10" fontId="9" fillId="2" borderId="11" xfId="2" applyNumberFormat="1" applyFont="1" applyFill="1" applyBorder="1" applyAlignment="1">
      <alignment horizontal="center"/>
    </xf>
    <xf numFmtId="41" fontId="0" fillId="2" borderId="0" xfId="0" applyNumberFormat="1" applyFill="1"/>
    <xf numFmtId="164" fontId="9" fillId="8" borderId="7" xfId="4" applyNumberFormat="1" applyFont="1" applyFill="1" applyBorder="1"/>
    <xf numFmtId="0" fontId="9" fillId="4" borderId="12" xfId="0" applyFont="1" applyFill="1" applyBorder="1" applyAlignment="1">
      <alignment horizontal="centerContinuous" vertical="center" wrapText="1"/>
    </xf>
    <xf numFmtId="0" fontId="9" fillId="4" borderId="13" xfId="0" applyFont="1" applyFill="1" applyBorder="1" applyAlignment="1">
      <alignment horizontal="centerContinuous" vertical="center" wrapText="1"/>
    </xf>
    <xf numFmtId="0" fontId="9" fillId="3" borderId="24" xfId="0" applyFont="1" applyFill="1" applyBorder="1" applyAlignment="1">
      <alignment horizontal="centerContinuous" vertical="center" wrapText="1"/>
    </xf>
    <xf numFmtId="0" fontId="0" fillId="0" borderId="26" xfId="0" applyBorder="1"/>
    <xf numFmtId="0" fontId="9" fillId="9" borderId="3" xfId="0" applyFont="1" applyFill="1" applyBorder="1" applyAlignment="1">
      <alignment horizontal="centerContinuous" vertical="center" wrapText="1"/>
    </xf>
    <xf numFmtId="0" fontId="9" fillId="9" borderId="24" xfId="0" applyFont="1" applyFill="1" applyBorder="1" applyAlignment="1">
      <alignment horizontal="centerContinuous" vertical="center" wrapText="1"/>
    </xf>
    <xf numFmtId="0" fontId="9" fillId="7" borderId="10" xfId="0" applyFont="1" applyFill="1" applyBorder="1" applyAlignment="1">
      <alignment horizontal="centerContinuous" vertical="center" wrapText="1"/>
    </xf>
    <xf numFmtId="0" fontId="9" fillId="7" borderId="12" xfId="0" applyFont="1" applyFill="1" applyBorder="1" applyAlignment="1">
      <alignment horizontal="centerContinuous" vertical="center" wrapText="1"/>
    </xf>
    <xf numFmtId="0" fontId="9" fillId="7" borderId="2" xfId="0" applyFont="1" applyFill="1" applyBorder="1" applyAlignment="1">
      <alignment horizontal="centerContinuous" vertical="center" wrapText="1"/>
    </xf>
    <xf numFmtId="0" fontId="13" fillId="0" borderId="0" xfId="0" applyFont="1"/>
    <xf numFmtId="0" fontId="0" fillId="0" borderId="26" xfId="0" applyFill="1" applyBorder="1"/>
    <xf numFmtId="9" fontId="0" fillId="0" borderId="28" xfId="2" applyFont="1" applyBorder="1"/>
    <xf numFmtId="0" fontId="14" fillId="0" borderId="23" xfId="0" applyFont="1" applyBorder="1"/>
    <xf numFmtId="0" fontId="14" fillId="0" borderId="27" xfId="0" applyFont="1" applyBorder="1"/>
    <xf numFmtId="9" fontId="14" fillId="0" borderId="27" xfId="2" applyFont="1" applyBorder="1"/>
    <xf numFmtId="0" fontId="9" fillId="5" borderId="4" xfId="0" applyFont="1" applyFill="1" applyBorder="1" applyAlignment="1">
      <alignment horizontal="centerContinuous" vertical="center" wrapText="1"/>
    </xf>
    <xf numFmtId="9" fontId="0" fillId="2" borderId="8" xfId="2" applyFont="1" applyFill="1" applyBorder="1"/>
    <xf numFmtId="9" fontId="0" fillId="2" borderId="30" xfId="2" applyFont="1" applyFill="1" applyBorder="1"/>
    <xf numFmtId="0" fontId="9" fillId="0" borderId="22" xfId="0" applyFont="1" applyFill="1" applyBorder="1"/>
    <xf numFmtId="41" fontId="0" fillId="10" borderId="0" xfId="0" applyNumberFormat="1" applyFill="1"/>
    <xf numFmtId="41" fontId="9" fillId="10" borderId="26" xfId="0" applyNumberFormat="1" applyFont="1" applyFill="1" applyBorder="1"/>
    <xf numFmtId="9" fontId="0" fillId="10" borderId="0" xfId="2" applyFont="1" applyFill="1"/>
    <xf numFmtId="164" fontId="0" fillId="10" borderId="0" xfId="2" applyNumberFormat="1" applyFont="1" applyFill="1"/>
    <xf numFmtId="164" fontId="9" fillId="10" borderId="26" xfId="2" applyNumberFormat="1" applyFont="1" applyFill="1" applyBorder="1"/>
    <xf numFmtId="41" fontId="9" fillId="8" borderId="25" xfId="0" applyNumberFormat="1" applyFont="1" applyFill="1" applyBorder="1"/>
    <xf numFmtId="164" fontId="9" fillId="8" borderId="25" xfId="2" applyNumberFormat="1" applyFont="1" applyFill="1" applyBorder="1"/>
    <xf numFmtId="164" fontId="9" fillId="8" borderId="29" xfId="2" applyNumberFormat="1" applyFont="1" applyFill="1" applyBorder="1"/>
    <xf numFmtId="164" fontId="2" fillId="10" borderId="7" xfId="3" applyNumberFormat="1" applyFill="1" applyBorder="1"/>
    <xf numFmtId="0" fontId="0" fillId="0" borderId="0" xfId="0" applyBorder="1"/>
    <xf numFmtId="0" fontId="2" fillId="10" borderId="9" xfId="3" applyFill="1" applyBorder="1"/>
    <xf numFmtId="0" fontId="7" fillId="10" borderId="3" xfId="3" applyFont="1" applyFill="1" applyBorder="1"/>
    <xf numFmtId="164" fontId="11" fillId="8" borderId="7" xfId="4" applyNumberFormat="1" applyFont="1" applyFill="1" applyBorder="1"/>
    <xf numFmtId="41" fontId="2" fillId="0" borderId="0" xfId="3" applyNumberFormat="1"/>
    <xf numFmtId="164" fontId="9" fillId="2" borderId="7" xfId="4" applyNumberFormat="1" applyFont="1" applyFill="1" applyBorder="1"/>
    <xf numFmtId="41" fontId="0" fillId="2" borderId="7" xfId="4" applyNumberFormat="1" applyFont="1" applyFill="1" applyBorder="1"/>
    <xf numFmtId="41" fontId="2" fillId="0" borderId="7" xfId="3" applyNumberFormat="1" applyBorder="1"/>
    <xf numFmtId="164" fontId="11" fillId="8" borderId="4" xfId="4" applyNumberFormat="1" applyFont="1" applyFill="1" applyBorder="1"/>
    <xf numFmtId="0" fontId="7" fillId="0" borderId="9" xfId="3" applyFont="1" applyBorder="1"/>
    <xf numFmtId="0" fontId="5" fillId="0" borderId="0" xfId="3" applyFont="1" applyAlignment="1">
      <alignment horizontal="center"/>
    </xf>
    <xf numFmtId="0" fontId="3" fillId="0" borderId="5" xfId="3" applyFont="1" applyBorder="1"/>
    <xf numFmtId="0" fontId="7" fillId="10" borderId="9" xfId="3" applyFont="1" applyFill="1" applyBorder="1"/>
    <xf numFmtId="0" fontId="2" fillId="11" borderId="0" xfId="3" applyFill="1" applyBorder="1" applyAlignment="1">
      <alignment horizontal="center"/>
    </xf>
    <xf numFmtId="0" fontId="2" fillId="12" borderId="0" xfId="3" applyFill="1" applyBorder="1"/>
    <xf numFmtId="41" fontId="2" fillId="12" borderId="0" xfId="3" applyNumberFormat="1" applyFill="1" applyBorder="1"/>
    <xf numFmtId="41" fontId="0" fillId="12" borderId="7" xfId="4" applyNumberFormat="1" applyFont="1" applyFill="1" applyBorder="1"/>
    <xf numFmtId="0" fontId="9" fillId="2" borderId="11" xfId="0" applyFont="1" applyFill="1" applyBorder="1" applyAlignment="1">
      <alignment horizontal="centerContinuous" vertical="center" wrapText="1"/>
    </xf>
    <xf numFmtId="0" fontId="4" fillId="0" borderId="0" xfId="6" applyAlignment="1">
      <alignment horizontal="centerContinuous"/>
    </xf>
    <xf numFmtId="0" fontId="7" fillId="0" borderId="2" xfId="3" applyFont="1" applyBorder="1" applyAlignment="1">
      <alignment horizontal="center" vertical="center" wrapText="1"/>
    </xf>
    <xf numFmtId="0" fontId="7" fillId="13" borderId="2" xfId="3" applyFont="1" applyFill="1" applyBorder="1" applyAlignment="1">
      <alignment horizontal="center" vertical="center" wrapText="1"/>
    </xf>
    <xf numFmtId="0" fontId="7" fillId="0" borderId="0" xfId="3" applyFont="1"/>
    <xf numFmtId="0" fontId="18" fillId="0" borderId="0" xfId="3" applyFont="1"/>
    <xf numFmtId="41" fontId="9" fillId="8" borderId="7" xfId="4" applyNumberFormat="1" applyFont="1" applyFill="1" applyBorder="1"/>
    <xf numFmtId="164" fontId="7" fillId="10" borderId="33" xfId="3" applyNumberFormat="1" applyFont="1" applyFill="1" applyBorder="1"/>
    <xf numFmtId="0" fontId="9" fillId="9" borderId="29" xfId="0" applyFont="1" applyFill="1" applyBorder="1" applyAlignment="1">
      <alignment horizontal="centerContinuous" vertical="center" wrapText="1"/>
    </xf>
    <xf numFmtId="0" fontId="9" fillId="9" borderId="2" xfId="0" applyFont="1" applyFill="1" applyBorder="1" applyAlignment="1">
      <alignment horizontal="centerContinuous" vertical="center" wrapText="1"/>
    </xf>
    <xf numFmtId="0" fontId="0" fillId="6" borderId="0" xfId="0" applyFill="1"/>
    <xf numFmtId="9" fontId="0" fillId="2" borderId="0" xfId="2" applyFont="1" applyFill="1"/>
    <xf numFmtId="9" fontId="9" fillId="10" borderId="26" xfId="2" applyFont="1" applyFill="1" applyBorder="1"/>
    <xf numFmtId="41" fontId="9" fillId="8" borderId="36" xfId="0" applyNumberFormat="1" applyFont="1" applyFill="1" applyBorder="1"/>
    <xf numFmtId="0" fontId="14" fillId="0" borderId="37" xfId="0" applyFont="1" applyBorder="1"/>
    <xf numFmtId="0" fontId="9" fillId="3" borderId="12" xfId="0" applyFont="1" applyFill="1" applyBorder="1" applyAlignment="1">
      <alignment horizontal="centerContinuous" vertical="center" wrapText="1"/>
    </xf>
    <xf numFmtId="0" fontId="9" fillId="3" borderId="38" xfId="0" applyFont="1" applyFill="1" applyBorder="1" applyAlignment="1">
      <alignment horizontal="centerContinuous" vertical="center" wrapText="1"/>
    </xf>
    <xf numFmtId="41" fontId="0" fillId="10" borderId="39" xfId="0" applyNumberFormat="1" applyFill="1" applyBorder="1"/>
    <xf numFmtId="41" fontId="9" fillId="10" borderId="40" xfId="0" applyNumberFormat="1" applyFont="1" applyFill="1" applyBorder="1"/>
    <xf numFmtId="9" fontId="0" fillId="0" borderId="0" xfId="2" applyFont="1"/>
    <xf numFmtId="0" fontId="20" fillId="14" borderId="14" xfId="7" applyFont="1" applyFill="1" applyBorder="1" applyAlignment="1">
      <alignment horizontal="centerContinuous" vertical="center" wrapText="1"/>
    </xf>
    <xf numFmtId="0" fontId="20" fillId="14" borderId="15" xfId="7" applyFont="1" applyFill="1" applyBorder="1" applyAlignment="1">
      <alignment horizontal="centerContinuous" vertical="center" wrapText="1"/>
    </xf>
    <xf numFmtId="0" fontId="2" fillId="0" borderId="0" xfId="7"/>
    <xf numFmtId="0" fontId="2" fillId="14" borderId="17" xfId="7" applyFill="1" applyBorder="1"/>
    <xf numFmtId="0" fontId="2" fillId="14" borderId="12" xfId="7" applyFill="1" applyBorder="1"/>
    <xf numFmtId="0" fontId="3" fillId="14" borderId="13" xfId="7" applyFont="1" applyFill="1" applyBorder="1" applyAlignment="1">
      <alignment horizontal="right"/>
    </xf>
    <xf numFmtId="0" fontId="2" fillId="14" borderId="20" xfId="7" applyFill="1" applyBorder="1"/>
    <xf numFmtId="0" fontId="2" fillId="14" borderId="21" xfId="7" applyFill="1" applyBorder="1"/>
    <xf numFmtId="14" fontId="9" fillId="3" borderId="11" xfId="8" applyNumberFormat="1" applyFont="1" applyFill="1" applyBorder="1" applyAlignment="1">
      <alignment horizontal="centerContinuous" vertical="center" wrapText="1"/>
    </xf>
    <xf numFmtId="0" fontId="1" fillId="0" borderId="0" xfId="8"/>
    <xf numFmtId="0" fontId="1" fillId="0" borderId="0" xfId="8" applyAlignment="1">
      <alignment horizontal="center"/>
    </xf>
    <xf numFmtId="166" fontId="1" fillId="0" borderId="0" xfId="8" applyNumberFormat="1" applyAlignment="1">
      <alignment horizontal="center"/>
    </xf>
    <xf numFmtId="41" fontId="1" fillId="0" borderId="0" xfId="8" applyNumberFormat="1"/>
    <xf numFmtId="41" fontId="1" fillId="18" borderId="0" xfId="8" applyNumberFormat="1" applyFill="1"/>
    <xf numFmtId="41" fontId="1" fillId="19" borderId="0" xfId="8" applyNumberFormat="1" applyFill="1"/>
    <xf numFmtId="0" fontId="2" fillId="14" borderId="0" xfId="7" applyFill="1" applyBorder="1"/>
    <xf numFmtId="0" fontId="9" fillId="14" borderId="41" xfId="7" applyFont="1" applyFill="1" applyBorder="1"/>
    <xf numFmtId="0" fontId="2" fillId="14" borderId="19" xfId="7" applyFill="1" applyBorder="1"/>
    <xf numFmtId="0" fontId="20" fillId="14" borderId="15" xfId="7" applyFont="1" applyFill="1" applyBorder="1" applyAlignment="1">
      <alignment wrapText="1"/>
    </xf>
    <xf numFmtId="0" fontId="20" fillId="14" borderId="16" xfId="7" applyFont="1" applyFill="1" applyBorder="1" applyAlignment="1">
      <alignment wrapText="1"/>
    </xf>
    <xf numFmtId="14" fontId="9" fillId="3" borderId="31" xfId="8" applyNumberFormat="1" applyFont="1" applyFill="1" applyBorder="1" applyAlignment="1">
      <alignment horizontal="centerContinuous" vertical="center" wrapText="1"/>
    </xf>
    <xf numFmtId="14" fontId="9" fillId="11" borderId="31" xfId="8" applyNumberFormat="1" applyFont="1" applyFill="1" applyBorder="1" applyAlignment="1">
      <alignment horizontal="centerContinuous" vertical="center" wrapText="1"/>
    </xf>
    <xf numFmtId="14" fontId="9" fillId="17" borderId="31" xfId="8" applyNumberFormat="1" applyFont="1" applyFill="1" applyBorder="1" applyAlignment="1">
      <alignment horizontal="centerContinuous" vertical="center" wrapText="1"/>
    </xf>
    <xf numFmtId="0" fontId="7" fillId="9" borderId="42" xfId="7" applyFont="1" applyFill="1" applyBorder="1" applyAlignment="1">
      <alignment horizontal="center"/>
    </xf>
    <xf numFmtId="41" fontId="7" fillId="9" borderId="32" xfId="7" applyNumberFormat="1" applyFont="1" applyFill="1" applyBorder="1"/>
    <xf numFmtId="41" fontId="7" fillId="9" borderId="43" xfId="7" applyNumberFormat="1" applyFont="1" applyFill="1" applyBorder="1"/>
    <xf numFmtId="0" fontId="9" fillId="15" borderId="44" xfId="7" applyFont="1" applyFill="1" applyBorder="1" applyAlignment="1">
      <alignment horizontal="center"/>
    </xf>
    <xf numFmtId="164" fontId="9" fillId="11" borderId="12" xfId="7" applyNumberFormat="1" applyFont="1" applyFill="1" applyBorder="1"/>
    <xf numFmtId="164" fontId="9" fillId="16" borderId="45" xfId="7" applyNumberFormat="1" applyFont="1" applyFill="1" applyBorder="1"/>
    <xf numFmtId="0" fontId="20" fillId="14" borderId="0" xfId="7" applyFont="1" applyFill="1" applyBorder="1" applyAlignment="1">
      <alignment wrapText="1"/>
    </xf>
    <xf numFmtId="0" fontId="20" fillId="14" borderId="18" xfId="7" applyFont="1" applyFill="1" applyBorder="1" applyAlignment="1">
      <alignment wrapText="1"/>
    </xf>
    <xf numFmtId="0" fontId="0" fillId="0" borderId="0" xfId="8" applyFont="1"/>
    <xf numFmtId="0" fontId="7" fillId="13" borderId="29" xfId="3" applyFont="1" applyFill="1" applyBorder="1" applyAlignment="1">
      <alignment horizontal="center"/>
    </xf>
    <xf numFmtId="44" fontId="7" fillId="20" borderId="25" xfId="2" applyNumberFormat="1" applyFont="1" applyFill="1" applyBorder="1"/>
    <xf numFmtId="44" fontId="7" fillId="20" borderId="46" xfId="2" applyNumberFormat="1" applyFont="1" applyFill="1" applyBorder="1"/>
    <xf numFmtId="0" fontId="9" fillId="21" borderId="11" xfId="0" applyFont="1" applyFill="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10" fillId="11" borderId="0" xfId="0" applyFont="1" applyFill="1" applyAlignment="1">
      <alignment vertical="center"/>
    </xf>
    <xf numFmtId="0" fontId="9" fillId="0" borderId="38" xfId="0" applyFont="1" applyBorder="1" applyAlignment="1">
      <alignment horizontal="center" vertical="center"/>
    </xf>
    <xf numFmtId="0" fontId="15" fillId="0" borderId="53"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0" xfId="0" applyAlignment="1">
      <alignment vertical="center" wrapText="1"/>
    </xf>
    <xf numFmtId="0" fontId="9" fillId="0" borderId="39" xfId="0" applyFont="1" applyBorder="1" applyAlignment="1">
      <alignment horizontal="center" vertical="center"/>
    </xf>
    <xf numFmtId="0" fontId="0" fillId="2" borderId="17" xfId="0" applyFill="1" applyBorder="1" applyAlignment="1">
      <alignment vertical="center"/>
    </xf>
    <xf numFmtId="41" fontId="9" fillId="0" borderId="25" xfId="0" applyNumberFormat="1" applyFont="1" applyFill="1" applyBorder="1" applyAlignment="1">
      <alignment vertical="center"/>
    </xf>
    <xf numFmtId="41" fontId="0" fillId="2" borderId="0" xfId="0" applyNumberFormat="1" applyFill="1" applyBorder="1" applyAlignment="1">
      <alignment vertical="center"/>
    </xf>
    <xf numFmtId="41" fontId="0" fillId="2" borderId="18" xfId="0" applyNumberFormat="1" applyFill="1" applyBorder="1" applyAlignment="1">
      <alignment vertical="center"/>
    </xf>
    <xf numFmtId="0" fontId="9" fillId="0" borderId="49" xfId="0" applyFont="1" applyBorder="1" applyAlignment="1">
      <alignment horizontal="center" vertical="center"/>
    </xf>
    <xf numFmtId="0" fontId="0" fillId="22" borderId="50" xfId="0" applyFill="1" applyBorder="1" applyAlignment="1">
      <alignment vertical="center"/>
    </xf>
    <xf numFmtId="165" fontId="9" fillId="0" borderId="51" xfId="2" applyNumberFormat="1" applyFont="1" applyFill="1" applyBorder="1" applyAlignment="1">
      <alignment vertical="center"/>
    </xf>
    <xf numFmtId="165" fontId="0" fillId="22" borderId="9" xfId="2" applyNumberFormat="1" applyFont="1" applyFill="1" applyBorder="1" applyAlignment="1">
      <alignment vertical="center"/>
    </xf>
    <xf numFmtId="165" fontId="0" fillId="22" borderId="52" xfId="2" applyNumberFormat="1" applyFont="1" applyFill="1" applyBorder="1" applyAlignment="1">
      <alignment vertical="center"/>
    </xf>
    <xf numFmtId="0" fontId="9" fillId="0" borderId="48" xfId="0" applyFont="1" applyBorder="1" applyAlignment="1">
      <alignment horizontal="center" vertical="center"/>
    </xf>
    <xf numFmtId="0" fontId="0" fillId="0" borderId="19" xfId="0" applyFill="1" applyBorder="1" applyAlignment="1">
      <alignment vertical="center"/>
    </xf>
    <xf numFmtId="165" fontId="9" fillId="0" borderId="35" xfId="2" applyNumberFormat="1" applyFont="1" applyFill="1" applyBorder="1" applyAlignment="1">
      <alignment vertical="center"/>
    </xf>
    <xf numFmtId="165" fontId="16" fillId="0" borderId="20" xfId="2" applyNumberFormat="1" applyFont="1" applyFill="1" applyBorder="1" applyAlignment="1">
      <alignment vertical="center"/>
    </xf>
    <xf numFmtId="165" fontId="16" fillId="0" borderId="21" xfId="2" applyNumberFormat="1" applyFont="1" applyFill="1" applyBorder="1" applyAlignment="1">
      <alignment vertical="center"/>
    </xf>
    <xf numFmtId="0" fontId="0" fillId="0" borderId="32" xfId="0" applyBorder="1" applyAlignment="1">
      <alignment vertical="center"/>
    </xf>
    <xf numFmtId="0" fontId="0" fillId="0" borderId="47" xfId="0" applyBorder="1" applyAlignment="1">
      <alignment vertical="center"/>
    </xf>
    <xf numFmtId="0" fontId="15" fillId="0" borderId="14" xfId="0" applyFont="1" applyBorder="1" applyAlignment="1">
      <alignment vertical="center"/>
    </xf>
    <xf numFmtId="41" fontId="10" fillId="0" borderId="34" xfId="0" applyNumberFormat="1" applyFont="1" applyBorder="1" applyAlignment="1">
      <alignment vertical="center"/>
    </xf>
    <xf numFmtId="41" fontId="10" fillId="0" borderId="15" xfId="0" applyNumberFormat="1" applyFont="1" applyBorder="1" applyAlignment="1">
      <alignment vertical="center"/>
    </xf>
    <xf numFmtId="41" fontId="10" fillId="0" borderId="16" xfId="0" applyNumberFormat="1" applyFont="1" applyBorder="1" applyAlignment="1">
      <alignment vertical="center"/>
    </xf>
    <xf numFmtId="41" fontId="10" fillId="0" borderId="0" xfId="0" applyNumberFormat="1" applyFont="1" applyAlignment="1">
      <alignment vertical="center"/>
    </xf>
    <xf numFmtId="0" fontId="0" fillId="0" borderId="39" xfId="0" applyBorder="1" applyAlignment="1">
      <alignment vertical="center"/>
    </xf>
    <xf numFmtId="0" fontId="12" fillId="5" borderId="17" xfId="0" applyFont="1" applyFill="1" applyBorder="1" applyAlignment="1">
      <alignment vertical="center"/>
    </xf>
    <xf numFmtId="164" fontId="10" fillId="5" borderId="25" xfId="0" applyNumberFormat="1" applyFont="1" applyFill="1" applyBorder="1" applyAlignment="1">
      <alignment vertical="center"/>
    </xf>
    <xf numFmtId="164" fontId="10" fillId="5" borderId="0" xfId="0" applyNumberFormat="1" applyFont="1" applyFill="1" applyBorder="1" applyAlignment="1">
      <alignment vertical="center"/>
    </xf>
    <xf numFmtId="164" fontId="10" fillId="5" borderId="18" xfId="0" applyNumberFormat="1" applyFont="1" applyFill="1" applyBorder="1" applyAlignment="1">
      <alignment vertical="center"/>
    </xf>
    <xf numFmtId="0" fontId="11" fillId="0" borderId="17" xfId="0" applyFont="1" applyBorder="1" applyAlignment="1">
      <alignment vertical="center"/>
    </xf>
    <xf numFmtId="41" fontId="10" fillId="0" borderId="25" xfId="0" applyNumberFormat="1" applyFont="1" applyBorder="1" applyAlignment="1">
      <alignment vertical="center"/>
    </xf>
    <xf numFmtId="41" fontId="10" fillId="0" borderId="0" xfId="0" applyNumberFormat="1" applyFont="1" applyBorder="1" applyAlignment="1">
      <alignment vertical="center"/>
    </xf>
    <xf numFmtId="41" fontId="10" fillId="0" borderId="18" xfId="0" applyNumberFormat="1" applyFont="1" applyBorder="1" applyAlignment="1">
      <alignment vertical="center"/>
    </xf>
    <xf numFmtId="0" fontId="12" fillId="2" borderId="17" xfId="0" applyFont="1" applyFill="1" applyBorder="1" applyAlignment="1">
      <alignment vertical="center"/>
    </xf>
    <xf numFmtId="41" fontId="10" fillId="2" borderId="25" xfId="0" applyNumberFormat="1" applyFont="1" applyFill="1" applyBorder="1" applyAlignment="1">
      <alignment vertical="center"/>
    </xf>
    <xf numFmtId="41" fontId="10" fillId="0" borderId="0" xfId="0" applyNumberFormat="1" applyFont="1" applyFill="1" applyBorder="1" applyAlignment="1">
      <alignment vertical="center"/>
    </xf>
    <xf numFmtId="41" fontId="10" fillId="0" borderId="18" xfId="0" applyNumberFormat="1" applyFont="1" applyFill="1" applyBorder="1" applyAlignment="1">
      <alignment vertical="center"/>
    </xf>
    <xf numFmtId="0" fontId="12" fillId="0" borderId="17" xfId="0" applyFont="1" applyFill="1" applyBorder="1" applyAlignment="1">
      <alignment vertical="center"/>
    </xf>
    <xf numFmtId="41" fontId="10" fillId="0" borderId="25" xfId="0" applyNumberFormat="1" applyFont="1" applyFill="1" applyBorder="1" applyAlignment="1">
      <alignment vertical="center"/>
    </xf>
    <xf numFmtId="0" fontId="11" fillId="5" borderId="17" xfId="1" applyNumberFormat="1" applyFont="1" applyFill="1" applyBorder="1" applyAlignment="1">
      <alignment horizontal="left" vertical="center"/>
    </xf>
    <xf numFmtId="164" fontId="11" fillId="5" borderId="25" xfId="1" applyNumberFormat="1" applyFont="1" applyFill="1" applyBorder="1" applyAlignment="1">
      <alignment horizontal="left" vertical="center"/>
    </xf>
    <xf numFmtId="164" fontId="11" fillId="5" borderId="0" xfId="1" applyNumberFormat="1" applyFont="1" applyFill="1" applyBorder="1" applyAlignment="1">
      <alignment horizontal="left" vertical="center"/>
    </xf>
    <xf numFmtId="164" fontId="11" fillId="5" borderId="18" xfId="1" applyNumberFormat="1" applyFont="1" applyFill="1" applyBorder="1" applyAlignment="1">
      <alignment horizontal="left" vertical="center"/>
    </xf>
    <xf numFmtId="0" fontId="12" fillId="0" borderId="17" xfId="0" applyFont="1" applyBorder="1" applyAlignment="1">
      <alignment vertical="center"/>
    </xf>
    <xf numFmtId="0" fontId="11" fillId="4" borderId="17" xfId="0" applyFont="1" applyFill="1" applyBorder="1" applyAlignment="1">
      <alignment vertical="center"/>
    </xf>
    <xf numFmtId="164" fontId="9" fillId="4" borderId="25" xfId="0" applyNumberFormat="1" applyFont="1" applyFill="1" applyBorder="1" applyAlignment="1">
      <alignment vertical="center"/>
    </xf>
    <xf numFmtId="164" fontId="9" fillId="4" borderId="0" xfId="0" applyNumberFormat="1" applyFont="1" applyFill="1" applyBorder="1" applyAlignment="1">
      <alignment vertical="center"/>
    </xf>
    <xf numFmtId="164" fontId="9" fillId="4" borderId="18" xfId="0" applyNumberFormat="1" applyFont="1" applyFill="1" applyBorder="1" applyAlignment="1">
      <alignment vertical="center"/>
    </xf>
    <xf numFmtId="0" fontId="0" fillId="0" borderId="48" xfId="0" applyBorder="1" applyAlignment="1">
      <alignment vertical="center"/>
    </xf>
    <xf numFmtId="0" fontId="14" fillId="11" borderId="19" xfId="0" applyFont="1" applyFill="1" applyBorder="1" applyAlignment="1">
      <alignment vertical="center"/>
    </xf>
    <xf numFmtId="44" fontId="14" fillId="11" borderId="35" xfId="0" applyNumberFormat="1" applyFont="1" applyFill="1" applyBorder="1" applyAlignment="1">
      <alignment vertical="center"/>
    </xf>
    <xf numFmtId="44" fontId="14" fillId="11" borderId="20" xfId="0" applyNumberFormat="1" applyFont="1" applyFill="1" applyBorder="1" applyAlignment="1">
      <alignment vertical="center"/>
    </xf>
    <xf numFmtId="44" fontId="14" fillId="11" borderId="21" xfId="0" applyNumberFormat="1" applyFont="1" applyFill="1" applyBorder="1" applyAlignment="1">
      <alignment vertical="center"/>
    </xf>
    <xf numFmtId="164" fontId="11" fillId="4" borderId="25" xfId="0" applyNumberFormat="1" applyFont="1" applyFill="1" applyBorder="1" applyAlignment="1">
      <alignment vertical="center"/>
    </xf>
    <xf numFmtId="164" fontId="11" fillId="4" borderId="0" xfId="0" applyNumberFormat="1" applyFont="1" applyFill="1" applyBorder="1" applyAlignment="1">
      <alignment vertical="center"/>
    </xf>
    <xf numFmtId="164" fontId="11" fillId="4" borderId="18" xfId="0" applyNumberFormat="1" applyFont="1" applyFill="1" applyBorder="1" applyAlignment="1">
      <alignment vertical="center"/>
    </xf>
    <xf numFmtId="0" fontId="10" fillId="2" borderId="17" xfId="0" applyFont="1" applyFill="1" applyBorder="1" applyAlignment="1">
      <alignment vertical="center"/>
    </xf>
    <xf numFmtId="0" fontId="0" fillId="0" borderId="17" xfId="0" applyFill="1" applyBorder="1" applyAlignment="1">
      <alignment vertical="center"/>
    </xf>
    <xf numFmtId="0" fontId="0" fillId="0" borderId="25"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19" fillId="11" borderId="19" xfId="0" applyFont="1" applyFill="1" applyBorder="1" applyAlignment="1">
      <alignment vertical="center"/>
    </xf>
    <xf numFmtId="164" fontId="9" fillId="11" borderId="35" xfId="0" applyNumberFormat="1" applyFont="1" applyFill="1" applyBorder="1" applyAlignment="1">
      <alignment vertical="center"/>
    </xf>
    <xf numFmtId="0" fontId="0" fillId="0" borderId="15" xfId="0" applyFill="1" applyBorder="1" applyAlignment="1">
      <alignment vertical="center"/>
    </xf>
    <xf numFmtId="0" fontId="0" fillId="0" borderId="15" xfId="0" applyBorder="1" applyAlignment="1">
      <alignment vertical="center"/>
    </xf>
    <xf numFmtId="0" fontId="15" fillId="0" borderId="23" xfId="0" applyFont="1" applyFill="1" applyBorder="1" applyAlignment="1">
      <alignment vertical="center"/>
    </xf>
    <xf numFmtId="164" fontId="9" fillId="0" borderId="27" xfId="0" applyNumberFormat="1" applyFont="1" applyFill="1" applyBorder="1" applyAlignment="1">
      <alignment vertical="center"/>
    </xf>
    <xf numFmtId="44" fontId="9" fillId="2" borderId="27" xfId="0" applyNumberFormat="1" applyFont="1" applyFill="1" applyBorder="1" applyAlignment="1">
      <alignment vertical="center"/>
    </xf>
    <xf numFmtId="44" fontId="9" fillId="2" borderId="28" xfId="0" applyNumberFormat="1" applyFont="1" applyFill="1" applyBorder="1" applyAlignment="1">
      <alignment vertical="center"/>
    </xf>
    <xf numFmtId="0" fontId="9" fillId="2" borderId="39" xfId="0" applyFont="1" applyFill="1" applyBorder="1" applyAlignment="1">
      <alignment horizontal="center" vertical="center"/>
    </xf>
    <xf numFmtId="41" fontId="0" fillId="0" borderId="0" xfId="0" applyNumberFormat="1" applyAlignment="1">
      <alignment vertical="center" wrapText="1"/>
    </xf>
    <xf numFmtId="41" fontId="10" fillId="2" borderId="0" xfId="0" applyNumberFormat="1" applyFont="1" applyFill="1" applyBorder="1" applyAlignment="1">
      <alignment vertical="center"/>
    </xf>
    <xf numFmtId="41" fontId="10" fillId="2" borderId="18" xfId="0" applyNumberFormat="1" applyFont="1" applyFill="1" applyBorder="1" applyAlignment="1">
      <alignment vertical="center"/>
    </xf>
    <xf numFmtId="0" fontId="9" fillId="0" borderId="47" xfId="0" applyFont="1" applyBorder="1" applyAlignment="1">
      <alignment horizontal="center" vertical="center"/>
    </xf>
    <xf numFmtId="41" fontId="0" fillId="0" borderId="0" xfId="0" applyNumberFormat="1"/>
    <xf numFmtId="0" fontId="15" fillId="0" borderId="10" xfId="0" applyFont="1" applyFill="1" applyBorder="1" applyAlignment="1">
      <alignment vertical="center"/>
    </xf>
    <xf numFmtId="164" fontId="9" fillId="0" borderId="12" xfId="0" applyNumberFormat="1" applyFont="1" applyFill="1" applyBorder="1" applyAlignment="1">
      <alignment vertical="center"/>
    </xf>
    <xf numFmtId="164" fontId="9" fillId="0" borderId="13" xfId="0" applyNumberFormat="1" applyFont="1" applyFill="1" applyBorder="1" applyAlignment="1">
      <alignment vertical="center"/>
    </xf>
    <xf numFmtId="164" fontId="9" fillId="0" borderId="11" xfId="0" applyNumberFormat="1" applyFont="1" applyFill="1" applyBorder="1" applyAlignment="1">
      <alignment vertical="center"/>
    </xf>
    <xf numFmtId="0" fontId="21" fillId="10" borderId="3" xfId="0" applyFont="1" applyFill="1" applyBorder="1" applyAlignment="1">
      <alignment vertical="center"/>
    </xf>
    <xf numFmtId="164" fontId="14" fillId="10" borderId="31" xfId="0" applyNumberFormat="1" applyFont="1" applyFill="1" applyBorder="1" applyAlignment="1">
      <alignment vertical="center"/>
    </xf>
    <xf numFmtId="164" fontId="14" fillId="10" borderId="9" xfId="0" applyNumberFormat="1" applyFont="1" applyFill="1" applyBorder="1" applyAlignment="1">
      <alignment vertical="center"/>
    </xf>
    <xf numFmtId="164" fontId="14" fillId="10" borderId="4" xfId="0" applyNumberFormat="1" applyFont="1" applyFill="1" applyBorder="1" applyAlignment="1">
      <alignment vertical="center"/>
    </xf>
    <xf numFmtId="164" fontId="9" fillId="23" borderId="12" xfId="7" applyNumberFormat="1" applyFont="1" applyFill="1" applyBorder="1"/>
    <xf numFmtId="41" fontId="1" fillId="23" borderId="0" xfId="8" applyNumberFormat="1" applyFill="1"/>
    <xf numFmtId="14" fontId="9" fillId="24" borderId="31" xfId="8" applyNumberFormat="1" applyFont="1" applyFill="1" applyBorder="1" applyAlignment="1">
      <alignment horizontal="centerContinuous" vertical="center" wrapText="1"/>
    </xf>
    <xf numFmtId="0" fontId="9" fillId="14" borderId="17" xfId="7" applyFont="1" applyFill="1" applyBorder="1"/>
    <xf numFmtId="0" fontId="1" fillId="2" borderId="0" xfId="8" applyFill="1"/>
    <xf numFmtId="14" fontId="9" fillId="25" borderId="11" xfId="8" applyNumberFormat="1" applyFont="1" applyFill="1" applyBorder="1" applyAlignment="1">
      <alignment horizontal="centerContinuous" vertical="center" wrapText="1"/>
    </xf>
    <xf numFmtId="0" fontId="9" fillId="14" borderId="17" xfId="7" applyFont="1" applyFill="1" applyBorder="1" applyAlignment="1">
      <alignment horizontal="right"/>
    </xf>
    <xf numFmtId="0" fontId="2" fillId="6" borderId="0" xfId="7" applyFill="1" applyBorder="1" applyAlignment="1">
      <alignment horizontal="center"/>
    </xf>
    <xf numFmtId="0" fontId="7" fillId="6" borderId="0" xfId="7" applyFont="1" applyFill="1" applyBorder="1" applyAlignment="1">
      <alignment horizontal="center"/>
    </xf>
    <xf numFmtId="41" fontId="2" fillId="26" borderId="0" xfId="7" applyNumberFormat="1" applyFill="1" applyBorder="1"/>
    <xf numFmtId="164" fontId="22" fillId="27" borderId="0" xfId="7" applyNumberFormat="1" applyFont="1" applyFill="1" applyBorder="1"/>
    <xf numFmtId="0" fontId="7" fillId="6" borderId="57" xfId="7" applyFont="1" applyFill="1" applyBorder="1" applyAlignment="1">
      <alignment horizontal="center"/>
    </xf>
    <xf numFmtId="0" fontId="2" fillId="6" borderId="22" xfId="7" applyFill="1" applyBorder="1" applyAlignment="1">
      <alignment horizontal="center"/>
    </xf>
    <xf numFmtId="164" fontId="22" fillId="27" borderId="58" xfId="7" applyNumberFormat="1" applyFont="1" applyFill="1" applyBorder="1"/>
    <xf numFmtId="0" fontId="1" fillId="2" borderId="0" xfId="8" applyFill="1" applyAlignment="1">
      <alignment horizontal="center"/>
    </xf>
    <xf numFmtId="41" fontId="2" fillId="28" borderId="0" xfId="7" applyNumberFormat="1" applyFill="1" applyBorder="1"/>
    <xf numFmtId="0" fontId="2" fillId="6" borderId="59" xfId="7" applyFill="1" applyBorder="1" applyAlignment="1">
      <alignment horizontal="center"/>
    </xf>
    <xf numFmtId="0" fontId="7" fillId="6" borderId="60" xfId="7" applyFont="1" applyFill="1" applyBorder="1" applyAlignment="1">
      <alignment horizontal="center"/>
    </xf>
    <xf numFmtId="41" fontId="7" fillId="28" borderId="60" xfId="7" applyNumberFormat="1" applyFont="1" applyFill="1" applyBorder="1"/>
    <xf numFmtId="41" fontId="7" fillId="26" borderId="60" xfId="7" applyNumberFormat="1" applyFont="1" applyFill="1" applyBorder="1" applyAlignment="1"/>
    <xf numFmtId="164" fontId="22" fillId="27" borderId="61" xfId="7" applyNumberFormat="1" applyFont="1" applyFill="1" applyBorder="1"/>
    <xf numFmtId="41" fontId="7" fillId="28" borderId="57" xfId="7" applyNumberFormat="1" applyFont="1" applyFill="1" applyBorder="1"/>
    <xf numFmtId="41" fontId="7" fillId="26" borderId="57" xfId="7" applyNumberFormat="1" applyFont="1" applyFill="1" applyBorder="1" applyAlignment="1"/>
    <xf numFmtId="0" fontId="23" fillId="14" borderId="20" xfId="7" applyFont="1" applyFill="1" applyBorder="1" applyAlignment="1">
      <alignment horizontal="right"/>
    </xf>
    <xf numFmtId="41" fontId="23" fillId="14" borderId="20" xfId="7" applyNumberFormat="1" applyFont="1" applyFill="1" applyBorder="1"/>
    <xf numFmtId="0" fontId="24" fillId="0" borderId="0" xfId="9" applyAlignment="1">
      <alignment horizontal="centerContinuous"/>
    </xf>
    <xf numFmtId="0" fontId="2" fillId="2" borderId="1" xfId="3" applyFill="1" applyBorder="1" applyAlignment="1">
      <alignment vertical="center" wrapText="1"/>
    </xf>
    <xf numFmtId="0" fontId="2" fillId="2" borderId="2" xfId="3" applyFill="1" applyBorder="1" applyAlignment="1">
      <alignment vertical="center" wrapText="1"/>
    </xf>
    <xf numFmtId="0" fontId="2" fillId="2" borderId="3" xfId="3" applyFill="1" applyBorder="1" applyAlignment="1">
      <alignment vertical="center" wrapText="1"/>
    </xf>
    <xf numFmtId="0" fontId="2" fillId="2" borderId="4" xfId="3" applyFill="1" applyBorder="1" applyAlignment="1">
      <alignment vertical="center" wrapText="1"/>
    </xf>
  </cellXfs>
  <cellStyles count="10">
    <cellStyle name="Comma" xfId="1" builtinId="3"/>
    <cellStyle name="Currency 2" xfId="4" xr:uid="{00000000-0005-0000-0000-000001000000}"/>
    <cellStyle name="Hyperlink" xfId="9" builtinId="8"/>
    <cellStyle name="Hyperlink 2" xfId="6" xr:uid="{8073A27F-4EC0-45C0-BB19-0B9B546E531B}"/>
    <cellStyle name="Normal" xfId="0" builtinId="0"/>
    <cellStyle name="Normal 2" xfId="3" xr:uid="{00000000-0005-0000-0000-000004000000}"/>
    <cellStyle name="Normal 2 2" xfId="7" xr:uid="{C35ECD67-5554-4D91-9F0A-842346E90F37}"/>
    <cellStyle name="Normal 5" xfId="5" xr:uid="{00000000-0005-0000-0000-000005000000}"/>
    <cellStyle name="Normal 6" xfId="8" xr:uid="{2D18CB8D-CBA4-48AA-BE91-D336C3C69A7A}"/>
    <cellStyle name="Percent" xfId="2" builtinId="5"/>
  </cellStyles>
  <dxfs count="2">
    <dxf>
      <font>
        <b/>
        <i val="0"/>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17"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-6762750</xdr:colOff>
          <xdr:row>0</xdr:row>
          <xdr:rowOff>19050</xdr:rowOff>
        </xdr:from>
        <xdr:to>
          <xdr:col>0</xdr:col>
          <xdr:colOff>-6762750</xdr:colOff>
          <xdr:row>0</xdr:row>
          <xdr:rowOff>19050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762750" y="19050"/>
              <a:ext cx="0" cy="0"/>
              <a:chOff x="-6762750" y="19050"/>
              <a:chExt cx="0" cy="0"/>
            </a:xfrm>
            <a:noFill/>
            <a:effectLst>
              <a:reflection blurRad="6350" stA="50000" endA="300" endPos="55500" dist="50800" dir="5400000" sy="-100000" algn="bl" rotWithShape="0"/>
            </a:effectLst>
          </xdr:grpSpPr>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647700</xdr:colOff>
          <xdr:row>16</xdr:row>
          <xdr:rowOff>0</xdr:rowOff>
        </xdr:from>
        <xdr:to>
          <xdr:col>0</xdr:col>
          <xdr:colOff>923925</xdr:colOff>
          <xdr:row>20</xdr:row>
          <xdr:rowOff>0</xdr:rowOff>
        </xdr:to>
        <xdr:grpSp>
          <xdr:nvGrpSpPr>
            <xdr:cNvPr id="3" name="Group 22">
              <a:extLst>
                <a:ext uri="{FF2B5EF4-FFF2-40B4-BE49-F238E27FC236}">
                  <a16:creationId xmlns:a16="http://schemas.microsoft.com/office/drawing/2014/main" id="{00000000-0008-0000-0000-000003000000}"/>
                </a:ext>
              </a:extLst>
            </xdr:cNvPr>
            <xdr:cNvGrpSpPr>
              <a:grpSpLocks/>
            </xdr:cNvGrpSpPr>
          </xdr:nvGrpSpPr>
          <xdr:grpSpPr bwMode="auto">
            <a:xfrm>
              <a:off x="647700" y="3381375"/>
              <a:ext cx="276225" cy="838200"/>
              <a:chOff x="74104" y="33528"/>
              <a:chExt cx="2762" cy="8477"/>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847725</xdr:colOff>
          <xdr:row>16</xdr:row>
          <xdr:rowOff>0</xdr:rowOff>
        </xdr:from>
        <xdr:to>
          <xdr:col>0</xdr:col>
          <xdr:colOff>1209675</xdr:colOff>
          <xdr:row>20</xdr:row>
          <xdr:rowOff>9525</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847725" y="3381375"/>
              <a:ext cx="361950" cy="847725"/>
              <a:chOff x="647700" y="3371850"/>
              <a:chExt cx="228600" cy="847725"/>
            </a:xfrm>
          </xdr:grpSpPr>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647700" y="3371850"/>
                <a:ext cx="228600" cy="20955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647700" y="3581400"/>
                <a:ext cx="228600" cy="20955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647700" y="3800475"/>
                <a:ext cx="228600" cy="20955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647700" y="4010025"/>
                <a:ext cx="228600" cy="20955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14</xdr:col>
      <xdr:colOff>247650</xdr:colOff>
      <xdr:row>8</xdr:row>
      <xdr:rowOff>85725</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52400" y="123825"/>
          <a:ext cx="5429250" cy="2000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equipment</a:t>
          </a:r>
          <a:r>
            <a:rPr lang="en-US" sz="1100" baseline="0"/>
            <a:t> information (or paste from downloaded OBIEE report).</a:t>
          </a:r>
        </a:p>
        <a:p>
          <a:pPr algn="l"/>
          <a:r>
            <a:rPr lang="en-US" sz="1100" baseline="0"/>
            <a:t>For each piece of equipment select the type of charge:</a:t>
          </a:r>
        </a:p>
        <a:p>
          <a:pPr algn="l"/>
          <a:r>
            <a:rPr lang="en-US" sz="1100" baseline="0"/>
            <a:t>     * </a:t>
          </a:r>
          <a:r>
            <a:rPr lang="en-US" sz="1100" u="sng" baseline="0"/>
            <a:t>Direct</a:t>
          </a:r>
          <a:r>
            <a:rPr lang="en-US" sz="1100" u="none" baseline="0"/>
            <a:t> - the equipment can be directly linked to a specific service</a:t>
          </a:r>
        </a:p>
        <a:p>
          <a:pPr algn="l"/>
          <a:r>
            <a:rPr lang="en-US" sz="1100" u="none" baseline="0"/>
            <a:t>     * </a:t>
          </a:r>
          <a:r>
            <a:rPr lang="en-US" sz="1100" u="sng" baseline="0"/>
            <a:t>Allocated</a:t>
          </a:r>
          <a:r>
            <a:rPr lang="en-US" sz="1100" u="none" baseline="0"/>
            <a:t> - the equipment is used over all or multiple services</a:t>
          </a:r>
        </a:p>
        <a:p>
          <a:pPr algn="l"/>
          <a:endParaRPr lang="en-US" sz="1100" u="none" baseline="0"/>
        </a:p>
        <a:p>
          <a:pPr algn="l"/>
          <a:r>
            <a:rPr lang="en-US" sz="1100" u="none" baseline="0"/>
            <a:t>Once you have the </a:t>
          </a:r>
          <a:r>
            <a:rPr lang="en-US" sz="1100" u="sng" baseline="0"/>
            <a:t>Type</a:t>
          </a:r>
          <a:r>
            <a:rPr lang="en-US" sz="1100" u="none" baseline="0"/>
            <a:t> selected, select the method for allocating the costs:</a:t>
          </a:r>
        </a:p>
        <a:p>
          <a:pPr algn="l"/>
          <a:r>
            <a:rPr lang="en-US" sz="1100" u="none" baseline="0"/>
            <a:t>     * </a:t>
          </a:r>
          <a:r>
            <a:rPr lang="en-US" sz="1100" u="sng" baseline="0"/>
            <a:t>If Direct Type</a:t>
          </a:r>
          <a:r>
            <a:rPr lang="en-US" sz="1100" u="none" baseline="0"/>
            <a:t> - you will have a list of the services to select from</a:t>
          </a:r>
        </a:p>
        <a:p>
          <a:pPr algn="l"/>
          <a:r>
            <a:rPr lang="en-US" sz="1100" u="none" baseline="0"/>
            <a:t>     * </a:t>
          </a:r>
          <a:r>
            <a:rPr lang="en-US" sz="1100" u="sng" baseline="0"/>
            <a:t>If Allocated</a:t>
          </a:r>
          <a:r>
            <a:rPr lang="en-US" sz="1100" u="none" baseline="0"/>
            <a:t> - you will have a choice of which metric to use to allocate the</a:t>
          </a:r>
        </a:p>
        <a:p>
          <a:pPr algn="l"/>
          <a:r>
            <a:rPr lang="en-US" sz="1100" u="none" baseline="0"/>
            <a:t>                                depreciation (the choice comes from the metrics entered in the</a:t>
          </a:r>
        </a:p>
        <a:p>
          <a:pPr algn="l"/>
          <a:r>
            <a:rPr lang="en-US" sz="1100" u="none" baseline="0"/>
            <a:t>                                 "Rate Calculations" tab in the </a:t>
          </a:r>
          <a:r>
            <a:rPr lang="en-US" sz="1100" b="1" i="1" u="sng" baseline="0"/>
            <a:t>Expense Allocations </a:t>
          </a:r>
          <a:r>
            <a:rPr lang="en-US" sz="1100" u="none" baseline="0"/>
            <a:t>section.</a:t>
          </a:r>
          <a:endParaRPr lang="en-US" sz="1100"/>
        </a:p>
      </xdr:txBody>
    </xdr:sp>
    <xdr:clientData/>
  </xdr:twoCellAnchor>
</xdr:wsDr>
</file>

<file path=xl/theme/theme1.xml><?xml version="1.0" encoding="utf-8"?>
<a:theme xmlns:a="http://schemas.openxmlformats.org/drawingml/2006/main" name="My_Jam">
  <a:themeElements>
    <a:clrScheme name="Killer Colors">
      <a:dk1>
        <a:sysClr val="windowText" lastClr="000000"/>
      </a:dk1>
      <a:lt1>
        <a:sysClr val="window" lastClr="FFFFFF"/>
      </a:lt1>
      <a:dk2>
        <a:srgbClr val="F84E20"/>
      </a:dk2>
      <a:lt2>
        <a:srgbClr val="0066FF"/>
      </a:lt2>
      <a:accent1>
        <a:srgbClr val="92278F"/>
      </a:accent1>
      <a:accent2>
        <a:srgbClr val="9B57D3"/>
      </a:accent2>
      <a:accent3>
        <a:srgbClr val="755DD9"/>
      </a:accent3>
      <a:accent4>
        <a:srgbClr val="F2B800"/>
      </a:accent4>
      <a:accent5>
        <a:srgbClr val="BD9467"/>
      </a:accent5>
      <a:accent6>
        <a:srgbClr val="6EDE54"/>
      </a:accent6>
      <a:hlink>
        <a:srgbClr val="0066FF"/>
      </a:hlink>
      <a:folHlink>
        <a:srgbClr val="666699"/>
      </a:folHlink>
    </a:clrScheme>
    <a:fontScheme name="Book'em Dano">
      <a:majorFont>
        <a:latin typeface="Bookman Old Style"/>
        <a:ea typeface=""/>
        <a:cs typeface=""/>
      </a:majorFont>
      <a:minorFont>
        <a:latin typeface="Book Antiqu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ervicefacility@cornell.ed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6DF-44BF-42C4-9934-42231F6ADF9E}">
  <sheetPr>
    <pageSetUpPr fitToPage="1"/>
  </sheetPr>
  <dimension ref="A1:I52"/>
  <sheetViews>
    <sheetView showGridLines="0" tabSelected="1" workbookViewId="0">
      <selection activeCell="A3" sqref="A3"/>
    </sheetView>
  </sheetViews>
  <sheetFormatPr defaultRowHeight="16.5" x14ac:dyDescent="0.3"/>
  <cols>
    <col min="1" max="1" width="19.125" style="2" customWidth="1"/>
    <col min="2" max="2" width="7" style="2" bestFit="1" customWidth="1"/>
    <col min="3" max="3" width="35.75" style="2" customWidth="1"/>
    <col min="4" max="4" width="18.875" style="2" customWidth="1"/>
    <col min="5" max="5" width="16.75" style="2" customWidth="1"/>
    <col min="6" max="6" width="15.75" style="2" customWidth="1"/>
    <col min="7" max="7" width="17.125" style="2" bestFit="1" customWidth="1"/>
    <col min="8" max="16384" width="9" style="2"/>
  </cols>
  <sheetData>
    <row r="1" spans="1:4" ht="18.75" x14ac:dyDescent="0.3">
      <c r="A1" s="20" t="s">
        <v>0</v>
      </c>
      <c r="B1" s="20"/>
      <c r="C1" s="1"/>
      <c r="D1" s="1"/>
    </row>
    <row r="2" spans="1:4" x14ac:dyDescent="0.3">
      <c r="A2" s="3" t="s">
        <v>1</v>
      </c>
      <c r="B2" s="3"/>
      <c r="C2" s="1"/>
      <c r="D2" s="1"/>
    </row>
    <row r="3" spans="1:4" x14ac:dyDescent="0.3">
      <c r="A3" s="255" t="s">
        <v>217</v>
      </c>
      <c r="B3" s="85"/>
      <c r="C3" s="1"/>
      <c r="D3" s="1"/>
    </row>
    <row r="5" spans="1:4" x14ac:dyDescent="0.3">
      <c r="A5" s="2" t="s">
        <v>2</v>
      </c>
      <c r="C5" s="17" t="s">
        <v>168</v>
      </c>
      <c r="D5" s="18" t="s">
        <v>167</v>
      </c>
    </row>
    <row r="6" spans="1:4" x14ac:dyDescent="0.3">
      <c r="D6" s="6"/>
    </row>
    <row r="7" spans="1:4" x14ac:dyDescent="0.3">
      <c r="A7" s="2" t="s">
        <v>3</v>
      </c>
      <c r="C7" s="17"/>
      <c r="D7" s="18" t="s">
        <v>166</v>
      </c>
    </row>
    <row r="8" spans="1:4" x14ac:dyDescent="0.3">
      <c r="D8" s="6"/>
    </row>
    <row r="9" spans="1:4" x14ac:dyDescent="0.3">
      <c r="A9" s="2" t="s">
        <v>4</v>
      </c>
      <c r="C9" s="2" t="s">
        <v>5</v>
      </c>
      <c r="D9" s="18" t="s">
        <v>163</v>
      </c>
    </row>
    <row r="10" spans="1:4" x14ac:dyDescent="0.3">
      <c r="C10" s="2" t="s">
        <v>6</v>
      </c>
      <c r="D10" s="18" t="s">
        <v>164</v>
      </c>
    </row>
    <row r="11" spans="1:4" x14ac:dyDescent="0.3">
      <c r="C11" s="2" t="s">
        <v>7</v>
      </c>
      <c r="D11" s="18" t="s">
        <v>165</v>
      </c>
    </row>
    <row r="13" spans="1:4" x14ac:dyDescent="0.3">
      <c r="A13" s="2" t="s">
        <v>8</v>
      </c>
      <c r="C13" s="256"/>
      <c r="D13" s="257"/>
    </row>
    <row r="14" spans="1:4" x14ac:dyDescent="0.3">
      <c r="C14" s="258"/>
      <c r="D14" s="259"/>
    </row>
    <row r="16" spans="1:4" x14ac:dyDescent="0.3">
      <c r="A16" s="2" t="s">
        <v>9</v>
      </c>
    </row>
    <row r="17" spans="1:6" x14ac:dyDescent="0.3">
      <c r="A17" s="77">
        <v>2</v>
      </c>
      <c r="B17" s="77"/>
      <c r="C17" s="2" t="s">
        <v>10</v>
      </c>
    </row>
    <row r="18" spans="1:6" x14ac:dyDescent="0.3">
      <c r="A18" s="6"/>
      <c r="B18" s="6"/>
      <c r="C18" s="2" t="s">
        <v>11</v>
      </c>
    </row>
    <row r="19" spans="1:6" x14ac:dyDescent="0.3">
      <c r="A19" s="6"/>
      <c r="B19" s="6"/>
      <c r="C19" s="2" t="s">
        <v>12</v>
      </c>
    </row>
    <row r="20" spans="1:6" x14ac:dyDescent="0.3">
      <c r="A20" s="6"/>
      <c r="B20" s="6"/>
      <c r="C20" s="2" t="s">
        <v>13</v>
      </c>
    </row>
    <row r="22" spans="1:6" x14ac:dyDescent="0.3">
      <c r="A22" s="6" t="s">
        <v>14</v>
      </c>
      <c r="B22" s="6"/>
      <c r="D22" s="21">
        <v>43845</v>
      </c>
    </row>
    <row r="23" spans="1:6" x14ac:dyDescent="0.3">
      <c r="A23" s="6"/>
      <c r="B23" s="6"/>
      <c r="C23" s="6"/>
    </row>
    <row r="24" spans="1:6" x14ac:dyDescent="0.3">
      <c r="A24" s="6" t="s">
        <v>15</v>
      </c>
      <c r="B24" s="6"/>
      <c r="C24" s="6" t="s">
        <v>29</v>
      </c>
      <c r="D24" s="19">
        <v>44013</v>
      </c>
    </row>
    <row r="25" spans="1:6" x14ac:dyDescent="0.3">
      <c r="A25" s="6"/>
      <c r="B25" s="6"/>
      <c r="C25" s="6" t="s">
        <v>30</v>
      </c>
      <c r="D25" s="19">
        <v>44377</v>
      </c>
    </row>
    <row r="26" spans="1:6" x14ac:dyDescent="0.3">
      <c r="A26" s="6"/>
      <c r="B26" s="6"/>
      <c r="C26" s="6"/>
    </row>
    <row r="27" spans="1:6" x14ac:dyDescent="0.3">
      <c r="A27" s="6" t="s">
        <v>16</v>
      </c>
      <c r="B27" s="6"/>
      <c r="C27" s="18" t="s">
        <v>171</v>
      </c>
      <c r="D27" s="23" t="s">
        <v>170</v>
      </c>
    </row>
    <row r="29" spans="1:6" ht="30" x14ac:dyDescent="0.3">
      <c r="A29" s="7"/>
      <c r="B29" s="78"/>
      <c r="C29" s="8"/>
      <c r="D29" s="86" t="str">
        <f>"Prior Year
FY"&amp;TEXT($D$25,"YY")-2</f>
        <v>Prior Year
FY19</v>
      </c>
      <c r="E29" s="86" t="str">
        <f>"Current Year Est.
FY"&amp;TEXT($D$25,"YY")-1</f>
        <v>Current Year Est.
FY20</v>
      </c>
      <c r="F29" s="87" t="str">
        <f>"Requested Year
FY"&amp;TEXT($D$25,"YY")</f>
        <v>Requested Year
FY21</v>
      </c>
    </row>
    <row r="30" spans="1:6" x14ac:dyDescent="0.3">
      <c r="A30" s="9"/>
      <c r="B30" s="10"/>
      <c r="C30" s="88" t="s">
        <v>20</v>
      </c>
      <c r="D30" s="72">
        <v>201072</v>
      </c>
      <c r="E30" s="38">
        <f>+D35</f>
        <v>197630.13</v>
      </c>
      <c r="F30" s="38">
        <f>+E35</f>
        <v>190754.54399999999</v>
      </c>
    </row>
    <row r="31" spans="1:6" x14ac:dyDescent="0.3">
      <c r="A31" s="9"/>
      <c r="B31" s="10"/>
      <c r="C31" s="2" t="s">
        <v>17</v>
      </c>
      <c r="D31" s="73">
        <v>450000</v>
      </c>
      <c r="E31" s="73">
        <v>375000</v>
      </c>
      <c r="F31" s="83">
        <f>+F51</f>
        <v>244606</v>
      </c>
    </row>
    <row r="32" spans="1:6" x14ac:dyDescent="0.3">
      <c r="A32" s="9"/>
      <c r="B32" s="10"/>
      <c r="C32" s="2" t="s">
        <v>67</v>
      </c>
      <c r="D32" s="73">
        <v>0</v>
      </c>
      <c r="E32" s="73">
        <v>0</v>
      </c>
      <c r="F32" s="83">
        <f>+'Rate Calculations'!C44</f>
        <v>64500</v>
      </c>
    </row>
    <row r="33" spans="1:9" x14ac:dyDescent="0.3">
      <c r="A33" s="9"/>
      <c r="B33" s="10"/>
      <c r="C33" s="2" t="s">
        <v>68</v>
      </c>
      <c r="D33" s="73">
        <v>376521</v>
      </c>
      <c r="E33" s="73">
        <v>350000</v>
      </c>
      <c r="F33" s="83">
        <f ca="1">+'Rate Calculations'!C12+'Rate Calculations'!C24-'Rate Calculations'!C23</f>
        <v>385209.43366600003</v>
      </c>
      <c r="G33" s="71"/>
    </row>
    <row r="34" spans="1:9" x14ac:dyDescent="0.3">
      <c r="A34" s="9"/>
      <c r="B34" s="10"/>
      <c r="C34" s="2" t="s">
        <v>69</v>
      </c>
      <c r="D34" s="73">
        <v>76920.87</v>
      </c>
      <c r="E34" s="73">
        <v>31875.586000000003</v>
      </c>
      <c r="F34" s="83">
        <f ca="1">+'Rate Calculations'!C23</f>
        <v>31875.585999999996</v>
      </c>
      <c r="G34" s="71"/>
      <c r="I34" s="71"/>
    </row>
    <row r="35" spans="1:9" x14ac:dyDescent="0.3">
      <c r="A35" s="9"/>
      <c r="B35" s="10"/>
      <c r="C35" s="89" t="s">
        <v>70</v>
      </c>
      <c r="D35" s="70">
        <f>SUM(D30:D32)-SUM(D33:D34)</f>
        <v>197630.13</v>
      </c>
      <c r="E35" s="70">
        <f t="shared" ref="E35:F35" si="0">SUM(E30:E32)-SUM(E33:E34)</f>
        <v>190754.54399999999</v>
      </c>
      <c r="F35" s="70">
        <f t="shared" ca="1" si="0"/>
        <v>82775.524333999958</v>
      </c>
      <c r="G35" s="71"/>
    </row>
    <row r="36" spans="1:9" x14ac:dyDescent="0.3">
      <c r="A36" s="9"/>
      <c r="B36" s="10"/>
      <c r="D36" s="74"/>
      <c r="E36" s="74"/>
      <c r="G36" s="71"/>
    </row>
    <row r="37" spans="1:9" x14ac:dyDescent="0.3">
      <c r="A37" s="9"/>
      <c r="B37" s="10"/>
      <c r="C37" s="88" t="s">
        <v>56</v>
      </c>
      <c r="D37" s="73">
        <v>155661</v>
      </c>
      <c r="E37" s="90">
        <f>+D40</f>
        <v>120947.87</v>
      </c>
      <c r="G37" s="71"/>
    </row>
    <row r="38" spans="1:9" x14ac:dyDescent="0.3">
      <c r="A38" s="9"/>
      <c r="B38" s="10"/>
      <c r="C38" s="2" t="s">
        <v>18</v>
      </c>
      <c r="D38" s="73">
        <v>111634</v>
      </c>
      <c r="E38" s="73">
        <v>0</v>
      </c>
    </row>
    <row r="39" spans="1:9" x14ac:dyDescent="0.3">
      <c r="A39" s="9"/>
      <c r="B39" s="10"/>
      <c r="C39" s="2" t="s">
        <v>19</v>
      </c>
      <c r="D39" s="73">
        <v>76920.87</v>
      </c>
      <c r="E39" s="73">
        <v>31875.586000000003</v>
      </c>
    </row>
    <row r="40" spans="1:9" x14ac:dyDescent="0.3">
      <c r="A40" s="5"/>
      <c r="B40" s="11"/>
      <c r="C40" s="76" t="s">
        <v>66</v>
      </c>
      <c r="D40" s="75">
        <f>+D37-D38+D39</f>
        <v>120947.87</v>
      </c>
      <c r="E40" s="75">
        <f>+E37-E38+E39</f>
        <v>152823.45600000001</v>
      </c>
    </row>
    <row r="42" spans="1:9" ht="17.25" thickBot="1" x14ac:dyDescent="0.35">
      <c r="A42" s="7" t="s">
        <v>55</v>
      </c>
      <c r="B42" s="78"/>
      <c r="C42" s="12"/>
      <c r="D42" s="12"/>
      <c r="E42" s="8"/>
      <c r="F42" s="4"/>
    </row>
    <row r="43" spans="1:9" ht="17.25" thickTop="1" x14ac:dyDescent="0.3">
      <c r="A43" s="13" t="s">
        <v>23</v>
      </c>
      <c r="B43" s="14" t="s">
        <v>62</v>
      </c>
      <c r="C43" s="14" t="s">
        <v>24</v>
      </c>
      <c r="D43" s="136" t="s">
        <v>22</v>
      </c>
      <c r="E43" s="15" t="s">
        <v>25</v>
      </c>
      <c r="F43" s="16" t="s">
        <v>26</v>
      </c>
    </row>
    <row r="44" spans="1:9" x14ac:dyDescent="0.3">
      <c r="A44" s="24" t="s">
        <v>63</v>
      </c>
      <c r="B44" s="80">
        <v>1</v>
      </c>
      <c r="C44" s="81" t="str">
        <f ca="1">IFERROR(HLOOKUP($B44,'Rate Calculations'!$1:$4,2,FALSE),"")</f>
        <v>Basic</v>
      </c>
      <c r="D44" s="137">
        <f>IFERROR(HLOOKUP(B44,'Rate Calculations'!$1:$1117,MATCH("Proposed Rates",'Rate Calculations'!B:B,0),FALSE),0)</f>
        <v>15</v>
      </c>
      <c r="E44" s="82">
        <f>IFERROR(HLOOKUP($B44,'Rate Calculations'!$1:$30,30,FALSE),0)</f>
        <v>2240</v>
      </c>
      <c r="F44" s="66">
        <f>+D44*E44</f>
        <v>33600</v>
      </c>
    </row>
    <row r="45" spans="1:9" x14ac:dyDescent="0.3">
      <c r="A45" s="24" t="s">
        <v>63</v>
      </c>
      <c r="B45" s="80">
        <f>+B44+1</f>
        <v>2</v>
      </c>
      <c r="C45" s="81" t="str">
        <f ca="1">IFERROR(HLOOKUP($B45,'Rate Calculations'!$1:$4,2,FALSE),"")</f>
        <v>Advanced</v>
      </c>
      <c r="D45" s="137">
        <f>IFERROR(HLOOKUP(B45,'Rate Calculations'!$1:$1117,MATCH("Proposed Rates",'Rate Calculations'!B:B,0),FALSE),0)</f>
        <v>74</v>
      </c>
      <c r="E45" s="82">
        <f>IFERROR(HLOOKUP($B45,'Rate Calculations'!$1:$30,30,FALSE),0)</f>
        <v>714</v>
      </c>
      <c r="F45" s="66">
        <f t="shared" ref="F45:F50" si="1">+D45*E45</f>
        <v>52836</v>
      </c>
    </row>
    <row r="46" spans="1:9" x14ac:dyDescent="0.3">
      <c r="A46" s="24" t="s">
        <v>63</v>
      </c>
      <c r="B46" s="80">
        <f t="shared" ref="B46:B50" si="2">+B45+1</f>
        <v>3</v>
      </c>
      <c r="C46" s="81" t="str">
        <f ca="1">IFERROR(HLOOKUP($B46,'Rate Calculations'!$1:$4,2,FALSE),"")</f>
        <v>Deluxe</v>
      </c>
      <c r="D46" s="137">
        <f>IFERROR(HLOOKUP(B46,'Rate Calculations'!$1:$1117,MATCH("Proposed Rates",'Rate Calculations'!B:B,0),FALSE),0)</f>
        <v>13</v>
      </c>
      <c r="E46" s="82">
        <f>IFERROR(HLOOKUP($B46,'Rate Calculations'!$1:$30,30,FALSE),0)</f>
        <v>4640</v>
      </c>
      <c r="F46" s="66">
        <f t="shared" si="1"/>
        <v>60320</v>
      </c>
    </row>
    <row r="47" spans="1:9" x14ac:dyDescent="0.3">
      <c r="A47" s="24" t="s">
        <v>63</v>
      </c>
      <c r="B47" s="80">
        <f t="shared" si="2"/>
        <v>4</v>
      </c>
      <c r="C47" s="81" t="str">
        <f ca="1">IFERROR(HLOOKUP($B47,'Rate Calculations'!$1:$4,2,FALSE),"")</f>
        <v>Consulting</v>
      </c>
      <c r="D47" s="137">
        <f>IFERROR(HLOOKUP(B47,'Rate Calculations'!$1:$1117,MATCH("Proposed Rates",'Rate Calculations'!B:B,0),FALSE),0)</f>
        <v>10</v>
      </c>
      <c r="E47" s="82">
        <f>IFERROR(HLOOKUP($B47,'Rate Calculations'!$1:$30,30,FALSE),0)</f>
        <v>9785</v>
      </c>
      <c r="F47" s="66">
        <f t="shared" si="1"/>
        <v>97850</v>
      </c>
    </row>
    <row r="48" spans="1:9" x14ac:dyDescent="0.3">
      <c r="A48" s="24" t="s">
        <v>63</v>
      </c>
      <c r="B48" s="80">
        <f t="shared" si="2"/>
        <v>5</v>
      </c>
      <c r="C48" s="81" t="str">
        <f>IFERROR(HLOOKUP($B48,'Rate Calculations'!$1:$4,2,FALSE),"")</f>
        <v/>
      </c>
      <c r="D48" s="137">
        <f>IFERROR(HLOOKUP(B48,'Rate Calculations'!$1:$1117,MATCH("Proposed Rates",'Rate Calculations'!B:B,0),FALSE),0)</f>
        <v>0</v>
      </c>
      <c r="E48" s="82">
        <f>IFERROR(HLOOKUP($B48,'Rate Calculations'!$1:$30,30,FALSE),0)</f>
        <v>0</v>
      </c>
      <c r="F48" s="66">
        <f t="shared" si="1"/>
        <v>0</v>
      </c>
    </row>
    <row r="49" spans="1:6" x14ac:dyDescent="0.3">
      <c r="A49" s="24" t="s">
        <v>63</v>
      </c>
      <c r="B49" s="80">
        <f t="shared" si="2"/>
        <v>6</v>
      </c>
      <c r="C49" s="81" t="str">
        <f>IFERROR(HLOOKUP($B49,'Rate Calculations'!$1:$4,2,FALSE),"")</f>
        <v/>
      </c>
      <c r="D49" s="137">
        <f>IFERROR(HLOOKUP(B49,'Rate Calculations'!$1:$1117,MATCH("Proposed Rates",'Rate Calculations'!B:B,0),FALSE),0)</f>
        <v>0</v>
      </c>
      <c r="E49" s="82">
        <f>IFERROR(HLOOKUP($B49,'Rate Calculations'!$1:$30,30,FALSE),0)</f>
        <v>0</v>
      </c>
      <c r="F49" s="66">
        <f t="shared" si="1"/>
        <v>0</v>
      </c>
    </row>
    <row r="50" spans="1:6" ht="17.25" thickBot="1" x14ac:dyDescent="0.35">
      <c r="A50" s="24" t="s">
        <v>63</v>
      </c>
      <c r="B50" s="80">
        <f t="shared" si="2"/>
        <v>7</v>
      </c>
      <c r="C50" s="81" t="str">
        <f>IFERROR(HLOOKUP($B50,'Rate Calculations'!$1:$4,2,FALSE),"")</f>
        <v/>
      </c>
      <c r="D50" s="138">
        <f>IFERROR(HLOOKUP(B50,'Rate Calculations'!$1:$1117,MATCH("Proposed Rates",'Rate Calculations'!B:B,0),FALSE),0)</f>
        <v>0</v>
      </c>
      <c r="E50" s="82">
        <f>IFERROR(HLOOKUP($B50,'Rate Calculations'!$1:$30,30,FALSE),0)</f>
        <v>0</v>
      </c>
      <c r="F50" s="66">
        <f t="shared" si="1"/>
        <v>0</v>
      </c>
    </row>
    <row r="51" spans="1:6" ht="18" thickTop="1" thickBot="1" x14ac:dyDescent="0.35">
      <c r="A51" s="69" t="s">
        <v>34</v>
      </c>
      <c r="B51" s="79"/>
      <c r="C51" s="68"/>
      <c r="D51" s="68"/>
      <c r="E51" s="68"/>
      <c r="F51" s="91">
        <f>SUM(F44:F50)</f>
        <v>244606</v>
      </c>
    </row>
    <row r="52" spans="1:6" x14ac:dyDescent="0.3">
      <c r="A52" s="2" t="s">
        <v>27</v>
      </c>
    </row>
  </sheetData>
  <mergeCells count="1">
    <mergeCell ref="C13:D14"/>
  </mergeCells>
  <hyperlinks>
    <hyperlink ref="A3" r:id="rId1" xr:uid="{A0870DC6-0D56-49E2-921B-224E7470003C}"/>
  </hyperlinks>
  <pageMargins left="0.25" right="0.25" top="0.25" bottom="0.25" header="0.3" footer="0.3"/>
  <pageSetup scale="91"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Option Button 1">
              <controlPr defaultSize="0" autoFill="0" autoLine="0" autoPict="0">
                <anchor moveWithCells="1">
                  <from>
                    <xdr:col>0</xdr:col>
                    <xdr:colOff>847725</xdr:colOff>
                    <xdr:row>16</xdr:row>
                    <xdr:rowOff>0</xdr:rowOff>
                  </from>
                  <to>
                    <xdr:col>0</xdr:col>
                    <xdr:colOff>1209675</xdr:colOff>
                    <xdr:row>17</xdr:row>
                    <xdr:rowOff>0</xdr:rowOff>
                  </to>
                </anchor>
              </controlPr>
            </control>
          </mc:Choice>
        </mc:AlternateContent>
        <mc:AlternateContent xmlns:mc="http://schemas.openxmlformats.org/markup-compatibility/2006">
          <mc:Choice Requires="x14">
            <control shapeId="6146" r:id="rId6" name="Option Button 2">
              <controlPr defaultSize="0" autoFill="0" autoLine="0" autoPict="0">
                <anchor moveWithCells="1">
                  <from>
                    <xdr:col>0</xdr:col>
                    <xdr:colOff>847725</xdr:colOff>
                    <xdr:row>17</xdr:row>
                    <xdr:rowOff>0</xdr:rowOff>
                  </from>
                  <to>
                    <xdr:col>0</xdr:col>
                    <xdr:colOff>1209675</xdr:colOff>
                    <xdr:row>18</xdr:row>
                    <xdr:rowOff>0</xdr:rowOff>
                  </to>
                </anchor>
              </controlPr>
            </control>
          </mc:Choice>
        </mc:AlternateContent>
        <mc:AlternateContent xmlns:mc="http://schemas.openxmlformats.org/markup-compatibility/2006">
          <mc:Choice Requires="x14">
            <control shapeId="6147" r:id="rId7" name="Option Button 3">
              <controlPr defaultSize="0" autoFill="0" autoLine="0" autoPict="0">
                <anchor moveWithCells="1">
                  <from>
                    <xdr:col>0</xdr:col>
                    <xdr:colOff>847725</xdr:colOff>
                    <xdr:row>18</xdr:row>
                    <xdr:rowOff>9525</xdr:rowOff>
                  </from>
                  <to>
                    <xdr:col>0</xdr:col>
                    <xdr:colOff>1209675</xdr:colOff>
                    <xdr:row>19</xdr:row>
                    <xdr:rowOff>9525</xdr:rowOff>
                  </to>
                </anchor>
              </controlPr>
            </control>
          </mc:Choice>
        </mc:AlternateContent>
        <mc:AlternateContent xmlns:mc="http://schemas.openxmlformats.org/markup-compatibility/2006">
          <mc:Choice Requires="x14">
            <control shapeId="6148" r:id="rId8" name="Option Button 4">
              <controlPr defaultSize="0" autoFill="0" autoLine="0" autoPict="0">
                <anchor moveWithCells="1">
                  <from>
                    <xdr:col>0</xdr:col>
                    <xdr:colOff>847725</xdr:colOff>
                    <xdr:row>19</xdr:row>
                    <xdr:rowOff>9525</xdr:rowOff>
                  </from>
                  <to>
                    <xdr:col>0</xdr:col>
                    <xdr:colOff>1209675</xdr:colOff>
                    <xdr:row>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2"/>
  <sheetViews>
    <sheetView showGridLines="0" zoomScaleNormal="100" workbookViewId="0">
      <pane xSplit="2" ySplit="2" topLeftCell="C3" activePane="bottomRight" state="frozen"/>
      <selection pane="topRight" activeCell="B1" sqref="B1"/>
      <selection pane="bottomLeft" activeCell="A3" sqref="A3"/>
      <selection pane="bottomRight" activeCell="D12" sqref="D12"/>
    </sheetView>
  </sheetViews>
  <sheetFormatPr defaultRowHeight="16.5" x14ac:dyDescent="0.3"/>
  <cols>
    <col min="2" max="2" width="51.375" bestFit="1" customWidth="1"/>
    <col min="3" max="3" width="12.25" customWidth="1"/>
    <col min="4" max="4" width="12.625" bestFit="1" customWidth="1"/>
    <col min="5" max="7" width="15.125" customWidth="1"/>
    <col min="8" max="8" width="3.5" customWidth="1"/>
    <col min="9" max="9" width="56.375" customWidth="1"/>
  </cols>
  <sheetData>
    <row r="1" spans="1:9" ht="17.25" thickBot="1" x14ac:dyDescent="0.35">
      <c r="A1" s="140"/>
      <c r="B1" s="141"/>
      <c r="C1" s="141"/>
      <c r="D1" s="141">
        <v>1</v>
      </c>
      <c r="E1" s="142">
        <f>+D1+1</f>
        <v>2</v>
      </c>
      <c r="F1" s="142">
        <f t="shared" ref="F1:G1" si="0">+E1+1</f>
        <v>3</v>
      </c>
      <c r="G1" s="142">
        <f t="shared" si="0"/>
        <v>4</v>
      </c>
      <c r="H1" s="141"/>
      <c r="I1" s="140"/>
    </row>
    <row r="2" spans="1:9" ht="31.5" thickTop="1" thickBot="1" x14ac:dyDescent="0.35">
      <c r="A2" s="140"/>
      <c r="B2" s="141"/>
      <c r="C2" s="92" t="str">
        <f>"FY"&amp;TEXT(Summary!$D$25,"YY")&amp;" 
Est."</f>
        <v>FY21 
Est.</v>
      </c>
      <c r="D2" s="93" t="str">
        <f ca="1">OFFSET('S&amp;W'!$J$7,0,D1-1,1,1)</f>
        <v>Basic</v>
      </c>
      <c r="E2" s="93" t="str">
        <f ca="1">OFFSET('S&amp;W'!$J$7,0,E1-1,1,1)</f>
        <v>Advanced</v>
      </c>
      <c r="F2" s="93" t="str">
        <f ca="1">OFFSET('S&amp;W'!$J$7,0,F1-1,1,1)</f>
        <v>Deluxe</v>
      </c>
      <c r="G2" s="93" t="str">
        <f ca="1">OFFSET('S&amp;W'!$J$7,0,G1-1,1,1)</f>
        <v>Consulting</v>
      </c>
      <c r="H2" s="141"/>
      <c r="I2" s="139" t="s">
        <v>182</v>
      </c>
    </row>
    <row r="3" spans="1:9" ht="49.5" x14ac:dyDescent="0.3">
      <c r="A3" s="143" t="s">
        <v>188</v>
      </c>
      <c r="B3" s="144" t="s">
        <v>184</v>
      </c>
      <c r="C3" s="145"/>
      <c r="D3" s="146"/>
      <c r="E3" s="146"/>
      <c r="F3" s="146"/>
      <c r="G3" s="147"/>
      <c r="H3" s="140"/>
      <c r="I3" s="148" t="s">
        <v>204</v>
      </c>
    </row>
    <row r="4" spans="1:9" x14ac:dyDescent="0.3">
      <c r="A4" s="149"/>
      <c r="B4" s="150" t="s">
        <v>183</v>
      </c>
      <c r="C4" s="151">
        <f t="shared" ref="C4:C9" si="1">SUM(D4:G4)</f>
        <v>17379</v>
      </c>
      <c r="D4" s="152">
        <v>2240</v>
      </c>
      <c r="E4" s="152">
        <v>714</v>
      </c>
      <c r="F4" s="152">
        <v>4640</v>
      </c>
      <c r="G4" s="153">
        <v>9785</v>
      </c>
      <c r="H4" s="140"/>
      <c r="I4" s="148"/>
    </row>
    <row r="5" spans="1:9" x14ac:dyDescent="0.3">
      <c r="A5" s="154">
        <v>1</v>
      </c>
      <c r="B5" s="155" t="str">
        <f>B4&amp;" %"</f>
        <v># of Billing Units %</v>
      </c>
      <c r="C5" s="156">
        <f t="shared" si="1"/>
        <v>1</v>
      </c>
      <c r="D5" s="157">
        <f>+D4/$C4</f>
        <v>0.12889119051729098</v>
      </c>
      <c r="E5" s="157">
        <f t="shared" ref="E5:G5" si="2">+E4/$C4</f>
        <v>4.1084066977386501E-2</v>
      </c>
      <c r="F5" s="157">
        <f t="shared" si="2"/>
        <v>0.26698889464295988</v>
      </c>
      <c r="G5" s="158">
        <f t="shared" si="2"/>
        <v>0.5630358478623626</v>
      </c>
      <c r="H5" s="140"/>
      <c r="I5" s="148"/>
    </row>
    <row r="6" spans="1:9" x14ac:dyDescent="0.3">
      <c r="A6" s="149"/>
      <c r="B6" s="150" t="s">
        <v>186</v>
      </c>
      <c r="C6" s="151">
        <f t="shared" si="1"/>
        <v>2800</v>
      </c>
      <c r="D6" s="152">
        <v>800</v>
      </c>
      <c r="E6" s="152">
        <v>500</v>
      </c>
      <c r="F6" s="152">
        <v>600</v>
      </c>
      <c r="G6" s="153">
        <v>900</v>
      </c>
      <c r="H6" s="140"/>
      <c r="I6" s="148"/>
    </row>
    <row r="7" spans="1:9" x14ac:dyDescent="0.3">
      <c r="A7" s="154">
        <v>2</v>
      </c>
      <c r="B7" s="155" t="str">
        <f>B6&amp;" %"</f>
        <v># of Consulting Hours %</v>
      </c>
      <c r="C7" s="156">
        <f t="shared" si="1"/>
        <v>1</v>
      </c>
      <c r="D7" s="157">
        <f>+D6/$C6</f>
        <v>0.2857142857142857</v>
      </c>
      <c r="E7" s="157">
        <f t="shared" ref="E7" si="3">+E6/$C6</f>
        <v>0.17857142857142858</v>
      </c>
      <c r="F7" s="157">
        <f t="shared" ref="F7" si="4">+F6/$C6</f>
        <v>0.21428571428571427</v>
      </c>
      <c r="G7" s="158">
        <f t="shared" ref="G7" si="5">+G6/$C6</f>
        <v>0.32142857142857145</v>
      </c>
      <c r="H7" s="140"/>
      <c r="I7" s="148"/>
    </row>
    <row r="8" spans="1:9" x14ac:dyDescent="0.3">
      <c r="A8" s="149"/>
      <c r="B8" s="150" t="s">
        <v>185</v>
      </c>
      <c r="C8" s="151">
        <f t="shared" si="1"/>
        <v>2000</v>
      </c>
      <c r="D8" s="152">
        <v>200</v>
      </c>
      <c r="E8" s="152">
        <v>400</v>
      </c>
      <c r="F8" s="152">
        <v>500</v>
      </c>
      <c r="G8" s="153">
        <v>900</v>
      </c>
      <c r="H8" s="140"/>
      <c r="I8" s="148"/>
    </row>
    <row r="9" spans="1:9" ht="17.25" thickBot="1" x14ac:dyDescent="0.35">
      <c r="A9" s="159">
        <v>3</v>
      </c>
      <c r="B9" s="160" t="str">
        <f>B8&amp;" %"</f>
        <v>Equipment Hours %</v>
      </c>
      <c r="C9" s="161">
        <f t="shared" si="1"/>
        <v>1</v>
      </c>
      <c r="D9" s="162">
        <f>+D8/$C8</f>
        <v>0.1</v>
      </c>
      <c r="E9" s="162">
        <f t="shared" ref="E9" si="6">+E8/$C8</f>
        <v>0.2</v>
      </c>
      <c r="F9" s="162">
        <f t="shared" ref="F9" si="7">+F8/$C8</f>
        <v>0.25</v>
      </c>
      <c r="G9" s="163">
        <f t="shared" ref="G9" si="8">+G8/$C8</f>
        <v>0.45</v>
      </c>
      <c r="H9" s="140"/>
      <c r="I9" s="148"/>
    </row>
    <row r="10" spans="1:9" ht="17.25" thickBot="1" x14ac:dyDescent="0.35">
      <c r="A10" s="140"/>
      <c r="B10" s="164"/>
      <c r="C10" s="164"/>
      <c r="D10" s="164"/>
      <c r="E10" s="164"/>
      <c r="F10" s="164"/>
      <c r="G10" s="164"/>
      <c r="H10" s="140"/>
      <c r="I10" s="148"/>
    </row>
    <row r="11" spans="1:9" ht="22.5" x14ac:dyDescent="0.3">
      <c r="A11" s="165"/>
      <c r="B11" s="166" t="s">
        <v>38</v>
      </c>
      <c r="C11" s="167"/>
      <c r="D11" s="168"/>
      <c r="E11" s="168"/>
      <c r="F11" s="168"/>
      <c r="G11" s="169"/>
      <c r="H11" s="170"/>
      <c r="I11" s="148"/>
    </row>
    <row r="12" spans="1:9" x14ac:dyDescent="0.3">
      <c r="A12" s="171"/>
      <c r="B12" s="172" t="s">
        <v>76</v>
      </c>
      <c r="C12" s="173">
        <f ca="1">SUM(D12:G12)</f>
        <v>309791.43366600003</v>
      </c>
      <c r="D12" s="174">
        <f ca="1">HLOOKUP(D2,Salaries,ROW(Total_Staff)-6,FALSE)</f>
        <v>38091.051213600003</v>
      </c>
      <c r="E12" s="174">
        <f ca="1">HLOOKUP(E2,Salaries,ROW(Total_Staff)-6,FALSE)</f>
        <v>55396.233756600006</v>
      </c>
      <c r="F12" s="174">
        <f ca="1">HLOOKUP(F2,Salaries,ROW(Total_Staff)-6,FALSE)</f>
        <v>82194.300533400004</v>
      </c>
      <c r="G12" s="175">
        <f ca="1">HLOOKUP(G2,Salaries,ROW(Total_Staff)-6,FALSE)</f>
        <v>134109.84816240001</v>
      </c>
      <c r="H12" s="170"/>
      <c r="I12" s="148" t="s">
        <v>192</v>
      </c>
    </row>
    <row r="13" spans="1:9" ht="49.5" x14ac:dyDescent="0.3">
      <c r="A13" s="149" t="s">
        <v>188</v>
      </c>
      <c r="B13" s="176" t="s">
        <v>187</v>
      </c>
      <c r="C13" s="177"/>
      <c r="D13" s="178"/>
      <c r="E13" s="178"/>
      <c r="F13" s="178"/>
      <c r="G13" s="179"/>
      <c r="H13" s="170"/>
      <c r="I13" s="148" t="s">
        <v>191</v>
      </c>
    </row>
    <row r="14" spans="1:9" x14ac:dyDescent="0.3">
      <c r="A14" s="216">
        <v>2</v>
      </c>
      <c r="B14" s="180" t="s">
        <v>39</v>
      </c>
      <c r="C14" s="181">
        <v>30500</v>
      </c>
      <c r="D14" s="182">
        <f>+$C14*VLOOKUP($A14,$A$4:$G$9,COLUMN(D$1),FALSE)</f>
        <v>8714.2857142857138</v>
      </c>
      <c r="E14" s="182">
        <f t="shared" ref="E14:G17" si="9">+$C14*VLOOKUP($A14,$A$4:$G$9,COLUMN(E$1),FALSE)</f>
        <v>5446.4285714285716</v>
      </c>
      <c r="F14" s="182">
        <f t="shared" si="9"/>
        <v>6535.7142857142853</v>
      </c>
      <c r="G14" s="183">
        <f t="shared" si="9"/>
        <v>9803.5714285714294</v>
      </c>
      <c r="H14" s="170"/>
      <c r="I14" s="148"/>
    </row>
    <row r="15" spans="1:9" x14ac:dyDescent="0.3">
      <c r="A15" s="216">
        <v>1</v>
      </c>
      <c r="B15" s="180" t="s">
        <v>40</v>
      </c>
      <c r="C15" s="181">
        <v>9800</v>
      </c>
      <c r="D15" s="182">
        <f t="shared" ref="D15:D17" si="10">+$C15*VLOOKUP($A15,$A$4:$G$9,COLUMN(D$1),FALSE)</f>
        <v>1263.1336670694516</v>
      </c>
      <c r="E15" s="182">
        <f t="shared" si="9"/>
        <v>402.6238563783877</v>
      </c>
      <c r="F15" s="182">
        <f t="shared" si="9"/>
        <v>2616.4911675010067</v>
      </c>
      <c r="G15" s="183">
        <f t="shared" si="9"/>
        <v>5517.7513090511538</v>
      </c>
      <c r="H15" s="170"/>
      <c r="I15" s="148"/>
    </row>
    <row r="16" spans="1:9" x14ac:dyDescent="0.3">
      <c r="A16" s="216">
        <v>3</v>
      </c>
      <c r="B16" s="180" t="s">
        <v>42</v>
      </c>
      <c r="C16" s="181">
        <v>7760</v>
      </c>
      <c r="D16" s="182">
        <f t="shared" si="10"/>
        <v>776</v>
      </c>
      <c r="E16" s="182">
        <f t="shared" si="9"/>
        <v>1552</v>
      </c>
      <c r="F16" s="182">
        <f t="shared" si="9"/>
        <v>1940</v>
      </c>
      <c r="G16" s="183">
        <f t="shared" si="9"/>
        <v>3492</v>
      </c>
      <c r="H16" s="170"/>
      <c r="I16" s="148"/>
    </row>
    <row r="17" spans="1:9" x14ac:dyDescent="0.3">
      <c r="A17" s="216">
        <v>1</v>
      </c>
      <c r="B17" s="180" t="s">
        <v>75</v>
      </c>
      <c r="C17" s="181">
        <v>1000</v>
      </c>
      <c r="D17" s="182">
        <f t="shared" si="10"/>
        <v>128.89119051729097</v>
      </c>
      <c r="E17" s="182">
        <f t="shared" si="9"/>
        <v>41.084066977386499</v>
      </c>
      <c r="F17" s="182">
        <f t="shared" si="9"/>
        <v>266.98889464295991</v>
      </c>
      <c r="G17" s="183">
        <f t="shared" si="9"/>
        <v>563.03584786236263</v>
      </c>
      <c r="H17" s="170"/>
      <c r="I17" s="217"/>
    </row>
    <row r="18" spans="1:9" ht="49.5" x14ac:dyDescent="0.3">
      <c r="A18" s="171"/>
      <c r="B18" s="176" t="s">
        <v>189</v>
      </c>
      <c r="C18" s="177"/>
      <c r="D18" s="178"/>
      <c r="E18" s="178"/>
      <c r="F18" s="178"/>
      <c r="G18" s="179"/>
      <c r="H18" s="170"/>
      <c r="I18" s="148" t="s">
        <v>205</v>
      </c>
    </row>
    <row r="19" spans="1:9" x14ac:dyDescent="0.3">
      <c r="A19" s="171"/>
      <c r="B19" s="180" t="s">
        <v>41</v>
      </c>
      <c r="C19" s="185">
        <f t="shared" ref="C19:C23" si="11">SUM(D19:G19)</f>
        <v>21408</v>
      </c>
      <c r="D19" s="218">
        <v>10101</v>
      </c>
      <c r="E19" s="218">
        <v>2150</v>
      </c>
      <c r="F19" s="218">
        <v>3575</v>
      </c>
      <c r="G19" s="219">
        <v>5582</v>
      </c>
      <c r="H19" s="170"/>
      <c r="I19" s="148"/>
    </row>
    <row r="20" spans="1:9" x14ac:dyDescent="0.3">
      <c r="A20" s="171"/>
      <c r="B20" s="180" t="s">
        <v>193</v>
      </c>
      <c r="C20" s="185">
        <f t="shared" si="11"/>
        <v>2150</v>
      </c>
      <c r="D20" s="218">
        <v>250</v>
      </c>
      <c r="E20" s="218">
        <v>800</v>
      </c>
      <c r="F20" s="218">
        <v>450</v>
      </c>
      <c r="G20" s="219">
        <v>650</v>
      </c>
      <c r="H20" s="170"/>
      <c r="I20" s="148"/>
    </row>
    <row r="21" spans="1:9" x14ac:dyDescent="0.3">
      <c r="A21" s="171"/>
      <c r="B21" s="180" t="s">
        <v>194</v>
      </c>
      <c r="C21" s="185">
        <f t="shared" si="11"/>
        <v>2800</v>
      </c>
      <c r="D21" s="218">
        <v>1000</v>
      </c>
      <c r="E21" s="218">
        <v>800</v>
      </c>
      <c r="F21" s="218">
        <v>700</v>
      </c>
      <c r="G21" s="219">
        <v>300</v>
      </c>
      <c r="H21" s="170"/>
      <c r="I21" s="148"/>
    </row>
    <row r="22" spans="1:9" x14ac:dyDescent="0.3">
      <c r="A22" s="171"/>
      <c r="B22" s="184"/>
      <c r="C22" s="185"/>
      <c r="D22" s="182"/>
      <c r="E22" s="182"/>
      <c r="F22" s="182"/>
      <c r="G22" s="183"/>
      <c r="H22" s="170"/>
      <c r="I22" s="148"/>
    </row>
    <row r="23" spans="1:9" ht="33" x14ac:dyDescent="0.3">
      <c r="A23" s="171"/>
      <c r="B23" s="184" t="s">
        <v>21</v>
      </c>
      <c r="C23" s="185">
        <f t="shared" ca="1" si="11"/>
        <v>31875.585999999996</v>
      </c>
      <c r="D23" s="182">
        <f ca="1">Assets!AF15</f>
        <v>12760.360825314623</v>
      </c>
      <c r="E23" s="182">
        <f ca="1">Assets!AG15</f>
        <v>1716.5541755690365</v>
      </c>
      <c r="F23" s="182">
        <f ca="1">Assets!AH15</f>
        <v>11409.244893253763</v>
      </c>
      <c r="G23" s="183">
        <f ca="1">Assets!AI15</f>
        <v>5989.4261058625762</v>
      </c>
      <c r="H23" s="170"/>
      <c r="I23" s="148" t="s">
        <v>190</v>
      </c>
    </row>
    <row r="24" spans="1:9" x14ac:dyDescent="0.3">
      <c r="A24" s="171"/>
      <c r="B24" s="186" t="s">
        <v>77</v>
      </c>
      <c r="C24" s="187">
        <f ca="1">SUM(C13:C23)</f>
        <v>107293.586</v>
      </c>
      <c r="D24" s="188">
        <f ca="1">SUM(D13:D23)</f>
        <v>34993.671397187078</v>
      </c>
      <c r="E24" s="188">
        <f ca="1">SUM(E13:E23)</f>
        <v>12908.690670353382</v>
      </c>
      <c r="F24" s="188">
        <f ca="1">SUM(F13:F23)</f>
        <v>27493.439241112013</v>
      </c>
      <c r="G24" s="189">
        <f ca="1">SUM(G13:G23)</f>
        <v>31897.784691347522</v>
      </c>
      <c r="H24" s="170"/>
      <c r="I24" s="148"/>
    </row>
    <row r="25" spans="1:9" x14ac:dyDescent="0.3">
      <c r="A25" s="171"/>
      <c r="B25" s="190"/>
      <c r="C25" s="177"/>
      <c r="D25" s="178"/>
      <c r="E25" s="178"/>
      <c r="F25" s="178"/>
      <c r="G25" s="179"/>
      <c r="H25" s="170"/>
      <c r="I25" s="148"/>
    </row>
    <row r="26" spans="1:9" ht="17.25" thickBot="1" x14ac:dyDescent="0.35">
      <c r="A26" s="195"/>
      <c r="B26" s="191" t="s">
        <v>72</v>
      </c>
      <c r="C26" s="192">
        <f ca="1">C12+C24</f>
        <v>417085.01966600004</v>
      </c>
      <c r="D26" s="193">
        <f ca="1">D12+D24</f>
        <v>73084.722610787081</v>
      </c>
      <c r="E26" s="193">
        <f ca="1">E12+E24</f>
        <v>68304.924426953396</v>
      </c>
      <c r="F26" s="193">
        <f ca="1">F12+F24</f>
        <v>109687.73977451201</v>
      </c>
      <c r="G26" s="194">
        <f ca="1">G12+G24</f>
        <v>166007.63285374752</v>
      </c>
      <c r="H26" s="170"/>
      <c r="I26" s="148"/>
    </row>
    <row r="27" spans="1:9" ht="17.25" thickBot="1" x14ac:dyDescent="0.35">
      <c r="A27" s="140"/>
      <c r="B27" s="164"/>
      <c r="C27" s="164"/>
      <c r="D27" s="164"/>
      <c r="E27" s="164"/>
      <c r="F27" s="164"/>
      <c r="G27" s="164"/>
      <c r="H27" s="140"/>
      <c r="I27" s="148"/>
    </row>
    <row r="28" spans="1:9" ht="22.5" x14ac:dyDescent="0.3">
      <c r="A28" s="140"/>
      <c r="B28" s="144" t="s">
        <v>71</v>
      </c>
      <c r="C28" s="145"/>
      <c r="D28" s="146"/>
      <c r="E28" s="146"/>
      <c r="F28" s="146"/>
      <c r="G28" s="147"/>
      <c r="H28" s="140"/>
      <c r="I28" s="148"/>
    </row>
    <row r="29" spans="1:9" x14ac:dyDescent="0.3">
      <c r="A29" s="140"/>
      <c r="B29" s="150" t="s">
        <v>196</v>
      </c>
      <c r="C29" s="151">
        <f>SUM(D29:G29)</f>
        <v>1448.25</v>
      </c>
      <c r="D29" s="152">
        <v>186.66666666666666</v>
      </c>
      <c r="E29" s="152">
        <v>59.5</v>
      </c>
      <c r="F29" s="152">
        <v>386.66666666666669</v>
      </c>
      <c r="G29" s="153">
        <v>815.41666666666663</v>
      </c>
      <c r="H29" s="140"/>
      <c r="I29" s="148"/>
    </row>
    <row r="30" spans="1:9" x14ac:dyDescent="0.3">
      <c r="A30" s="140"/>
      <c r="B30" s="150" t="s">
        <v>197</v>
      </c>
      <c r="C30" s="151">
        <f>SUM(D30:G30)</f>
        <v>17379</v>
      </c>
      <c r="D30" s="152">
        <v>2240</v>
      </c>
      <c r="E30" s="152">
        <v>714</v>
      </c>
      <c r="F30" s="152">
        <v>4640</v>
      </c>
      <c r="G30" s="153">
        <v>9785</v>
      </c>
      <c r="H30" s="140"/>
      <c r="I30" s="148"/>
    </row>
    <row r="31" spans="1:9" ht="17.25" thickBot="1" x14ac:dyDescent="0.35">
      <c r="A31" s="140"/>
      <c r="B31" s="196" t="s">
        <v>79</v>
      </c>
      <c r="C31" s="197"/>
      <c r="D31" s="198">
        <f ca="1">IFERROR(D26/D$30,0)</f>
        <v>32.627108308387086</v>
      </c>
      <c r="E31" s="198">
        <f t="shared" ref="E31:G31" ca="1" si="12">IFERROR(E26/E$30,0)</f>
        <v>95.665160261839489</v>
      </c>
      <c r="F31" s="198">
        <f t="shared" ca="1" si="12"/>
        <v>23.639599089334485</v>
      </c>
      <c r="G31" s="199">
        <f t="shared" ca="1" si="12"/>
        <v>16.965522008558764</v>
      </c>
      <c r="H31" s="140"/>
      <c r="I31" s="148"/>
    </row>
    <row r="32" spans="1:9" ht="17.25" thickBot="1" x14ac:dyDescent="0.35">
      <c r="A32" s="140"/>
      <c r="B32" s="164"/>
      <c r="C32" s="164"/>
      <c r="D32" s="164"/>
      <c r="E32" s="164"/>
      <c r="F32" s="164"/>
      <c r="G32" s="164"/>
      <c r="H32" s="140"/>
      <c r="I32" s="148"/>
    </row>
    <row r="33" spans="1:12" ht="22.5" x14ac:dyDescent="0.3">
      <c r="A33" s="220" t="s">
        <v>188</v>
      </c>
      <c r="B33" s="166" t="s">
        <v>73</v>
      </c>
      <c r="C33" s="167"/>
      <c r="D33" s="168"/>
      <c r="E33" s="168"/>
      <c r="F33" s="168"/>
      <c r="G33" s="169"/>
      <c r="H33" s="170"/>
      <c r="I33" s="148"/>
    </row>
    <row r="34" spans="1:12" ht="49.5" x14ac:dyDescent="0.3">
      <c r="A34" s="216">
        <v>1</v>
      </c>
      <c r="B34" s="184" t="s">
        <v>54</v>
      </c>
      <c r="C34" s="185">
        <f>+Summary!F30</f>
        <v>190754.54399999999</v>
      </c>
      <c r="D34" s="182">
        <f t="shared" ref="D34:G35" si="13">+$C34*VLOOKUP($A34,$A$4:$G$9,COLUMN(D$1),FALSE)</f>
        <v>24586.580272742965</v>
      </c>
      <c r="E34" s="182">
        <f t="shared" si="13"/>
        <v>7836.9724619368199</v>
      </c>
      <c r="F34" s="182">
        <f t="shared" si="13"/>
        <v>50929.344850681853</v>
      </c>
      <c r="G34" s="183">
        <f t="shared" si="13"/>
        <v>107401.64641463835</v>
      </c>
      <c r="H34" s="170"/>
      <c r="I34" s="148" t="s">
        <v>200</v>
      </c>
      <c r="L34" s="221"/>
    </row>
    <row r="35" spans="1:12" ht="82.5" x14ac:dyDescent="0.3">
      <c r="A35" s="149">
        <f>+A34</f>
        <v>1</v>
      </c>
      <c r="B35" s="184" t="s">
        <v>96</v>
      </c>
      <c r="C35" s="181">
        <v>-95000</v>
      </c>
      <c r="D35" s="182">
        <f t="shared" si="13"/>
        <v>-12244.663099142643</v>
      </c>
      <c r="E35" s="182">
        <f t="shared" si="13"/>
        <v>-3902.9863628517173</v>
      </c>
      <c r="F35" s="182">
        <f t="shared" si="13"/>
        <v>-25363.944991081189</v>
      </c>
      <c r="G35" s="183">
        <f t="shared" si="13"/>
        <v>-53488.405546924449</v>
      </c>
      <c r="H35" s="170"/>
      <c r="I35" s="148" t="s">
        <v>201</v>
      </c>
      <c r="L35" s="221"/>
    </row>
    <row r="36" spans="1:12" x14ac:dyDescent="0.3">
      <c r="A36" s="171"/>
      <c r="B36" s="186" t="s">
        <v>97</v>
      </c>
      <c r="C36" s="187">
        <f>SUM(C34:C35)</f>
        <v>95754.543999999994</v>
      </c>
      <c r="D36" s="188">
        <f t="shared" ref="D36:G36" si="14">SUM(D34:D35)</f>
        <v>12341.917173600323</v>
      </c>
      <c r="E36" s="188">
        <f t="shared" si="14"/>
        <v>3933.9860990851025</v>
      </c>
      <c r="F36" s="188">
        <f t="shared" si="14"/>
        <v>25565.399859600664</v>
      </c>
      <c r="G36" s="189">
        <f t="shared" si="14"/>
        <v>53913.240867713903</v>
      </c>
      <c r="H36" s="170"/>
      <c r="I36" s="148"/>
    </row>
    <row r="37" spans="1:12" x14ac:dyDescent="0.3">
      <c r="A37" s="171"/>
      <c r="B37" s="190"/>
      <c r="C37" s="177"/>
      <c r="D37" s="178"/>
      <c r="E37" s="178"/>
      <c r="F37" s="178"/>
      <c r="G37" s="179"/>
      <c r="H37" s="170"/>
      <c r="I37" s="148"/>
    </row>
    <row r="38" spans="1:12" x14ac:dyDescent="0.3">
      <c r="A38" s="171"/>
      <c r="B38" s="191" t="s">
        <v>78</v>
      </c>
      <c r="C38" s="200">
        <f ca="1">+C26-C36</f>
        <v>321330.47566600004</v>
      </c>
      <c r="D38" s="201">
        <f t="shared" ref="D38:G38" ca="1" si="15">+D26-D36</f>
        <v>60742.805437186762</v>
      </c>
      <c r="E38" s="201">
        <f t="shared" ca="1" si="15"/>
        <v>64370.938327868294</v>
      </c>
      <c r="F38" s="201">
        <f t="shared" ca="1" si="15"/>
        <v>84122.339914911339</v>
      </c>
      <c r="G38" s="202">
        <f t="shared" ca="1" si="15"/>
        <v>112094.39198603362</v>
      </c>
      <c r="H38" s="170"/>
      <c r="I38" s="148"/>
    </row>
    <row r="39" spans="1:12" ht="17.25" thickBot="1" x14ac:dyDescent="0.35">
      <c r="A39" s="195"/>
      <c r="B39" s="196" t="s">
        <v>80</v>
      </c>
      <c r="C39" s="197"/>
      <c r="D39" s="198">
        <f ca="1">IFERROR(D38/D$30,0)</f>
        <v>27.117323855886948</v>
      </c>
      <c r="E39" s="198">
        <f t="shared" ref="E39:G39" ca="1" si="16">IFERROR(E38/E$30,0)</f>
        <v>90.155375809339347</v>
      </c>
      <c r="F39" s="198">
        <f t="shared" ca="1" si="16"/>
        <v>18.12981463683434</v>
      </c>
      <c r="G39" s="199">
        <f t="shared" ca="1" si="16"/>
        <v>11.455737556058622</v>
      </c>
      <c r="H39" s="140"/>
      <c r="I39" s="148"/>
    </row>
    <row r="40" spans="1:12" ht="17.25" thickBot="1" x14ac:dyDescent="0.35">
      <c r="A40" s="140"/>
      <c r="B40" s="164"/>
      <c r="C40" s="164"/>
      <c r="D40" s="164"/>
      <c r="E40" s="164"/>
      <c r="F40" s="164"/>
      <c r="G40" s="164"/>
      <c r="H40" s="140"/>
      <c r="I40" s="148"/>
    </row>
    <row r="41" spans="1:12" ht="22.5" x14ac:dyDescent="0.3">
      <c r="A41" s="220" t="s">
        <v>188</v>
      </c>
      <c r="B41" s="166" t="s">
        <v>74</v>
      </c>
      <c r="C41" s="167"/>
      <c r="D41" s="168"/>
      <c r="E41" s="168"/>
      <c r="F41" s="168"/>
      <c r="G41" s="169"/>
      <c r="H41" s="170"/>
      <c r="I41" s="148"/>
    </row>
    <row r="42" spans="1:12" ht="49.5" x14ac:dyDescent="0.3">
      <c r="A42" s="216">
        <v>1</v>
      </c>
      <c r="B42" s="203" t="s">
        <v>64</v>
      </c>
      <c r="C42" s="181">
        <v>39000</v>
      </c>
      <c r="D42" s="182">
        <f t="shared" ref="D42:G42" si="17">+$C42*VLOOKUP($A42,$A$4:$G$9,COLUMN(D$1),FALSE)</f>
        <v>5026.7564301743478</v>
      </c>
      <c r="E42" s="182">
        <f t="shared" si="17"/>
        <v>1602.2786121180736</v>
      </c>
      <c r="F42" s="182">
        <f t="shared" si="17"/>
        <v>10412.566891075436</v>
      </c>
      <c r="G42" s="183">
        <f t="shared" si="17"/>
        <v>21958.39806663214</v>
      </c>
      <c r="H42" s="170"/>
      <c r="I42" s="148" t="s">
        <v>198</v>
      </c>
    </row>
    <row r="43" spans="1:12" ht="49.5" x14ac:dyDescent="0.3">
      <c r="A43" s="171"/>
      <c r="B43" s="203" t="s">
        <v>65</v>
      </c>
      <c r="C43" s="185">
        <f t="shared" ref="C43" si="18">SUM(D43:G43)</f>
        <v>25500</v>
      </c>
      <c r="D43" s="218">
        <v>0</v>
      </c>
      <c r="E43" s="218">
        <v>15000</v>
      </c>
      <c r="F43" s="218">
        <v>10500</v>
      </c>
      <c r="G43" s="219">
        <v>0</v>
      </c>
      <c r="H43" s="170"/>
      <c r="I43" s="148" t="s">
        <v>199</v>
      </c>
    </row>
    <row r="44" spans="1:12" x14ac:dyDescent="0.3">
      <c r="A44" s="171"/>
      <c r="B44" s="186" t="s">
        <v>53</v>
      </c>
      <c r="C44" s="187">
        <f>SUM(C42:C43)</f>
        <v>64500</v>
      </c>
      <c r="D44" s="188">
        <f t="shared" ref="D44:G44" si="19">SUM(D42:D43)</f>
        <v>5026.7564301743478</v>
      </c>
      <c r="E44" s="188">
        <f t="shared" si="19"/>
        <v>16602.278612118072</v>
      </c>
      <c r="F44" s="188">
        <f t="shared" si="19"/>
        <v>20912.566891075436</v>
      </c>
      <c r="G44" s="189">
        <f t="shared" si="19"/>
        <v>21958.39806663214</v>
      </c>
      <c r="H44" s="170"/>
      <c r="I44" s="148"/>
    </row>
    <row r="45" spans="1:12" x14ac:dyDescent="0.3">
      <c r="A45" s="171"/>
      <c r="B45" s="204"/>
      <c r="C45" s="205"/>
      <c r="D45" s="206"/>
      <c r="E45" s="206"/>
      <c r="F45" s="206"/>
      <c r="G45" s="207"/>
      <c r="H45" s="140"/>
      <c r="I45" s="148"/>
    </row>
    <row r="46" spans="1:12" x14ac:dyDescent="0.3">
      <c r="A46" s="171"/>
      <c r="B46" s="191" t="s">
        <v>87</v>
      </c>
      <c r="C46" s="200">
        <f ca="1">+C38-C44</f>
        <v>256830.47566600004</v>
      </c>
      <c r="D46" s="201">
        <f t="shared" ref="D46:G46" ca="1" si="20">+D38-D44</f>
        <v>55716.049007012414</v>
      </c>
      <c r="E46" s="201">
        <f t="shared" ca="1" si="20"/>
        <v>47768.659715750226</v>
      </c>
      <c r="F46" s="201">
        <f t="shared" ca="1" si="20"/>
        <v>63209.773023835907</v>
      </c>
      <c r="G46" s="202">
        <f t="shared" ca="1" si="20"/>
        <v>90135.993919401473</v>
      </c>
      <c r="H46" s="170"/>
      <c r="I46" s="148"/>
    </row>
    <row r="47" spans="1:12" ht="17.25" thickBot="1" x14ac:dyDescent="0.35">
      <c r="A47" s="195"/>
      <c r="B47" s="208" t="s">
        <v>88</v>
      </c>
      <c r="C47" s="209"/>
      <c r="D47" s="198">
        <f ca="1">IFERROR(D46/D$30,0)</f>
        <v>24.873236163844826</v>
      </c>
      <c r="E47" s="198">
        <f t="shared" ref="E47" ca="1" si="21">IFERROR(E46/E$30,0)</f>
        <v>66.902884755952698</v>
      </c>
      <c r="F47" s="198">
        <f t="shared" ref="F47" ca="1" si="22">IFERROR(F46/F$30,0)</f>
        <v>13.622795910309463</v>
      </c>
      <c r="G47" s="199">
        <f t="shared" ref="G47" ca="1" si="23">IFERROR(G46/G$30,0)</f>
        <v>9.2116498640165023</v>
      </c>
      <c r="H47" s="170"/>
      <c r="I47" s="148"/>
    </row>
    <row r="48" spans="1:12" ht="17.25" thickBot="1" x14ac:dyDescent="0.35">
      <c r="A48" s="140"/>
      <c r="B48" s="210"/>
      <c r="C48" s="210"/>
      <c r="D48" s="211"/>
      <c r="E48" s="211"/>
      <c r="F48" s="211"/>
      <c r="G48" s="211"/>
      <c r="H48" s="140"/>
      <c r="I48" s="148"/>
    </row>
    <row r="49" spans="1:9" ht="24" thickTop="1" thickBot="1" x14ac:dyDescent="0.35">
      <c r="A49" s="140"/>
      <c r="B49" s="212" t="s">
        <v>61</v>
      </c>
      <c r="C49" s="213"/>
      <c r="D49" s="214">
        <v>15</v>
      </c>
      <c r="E49" s="214">
        <v>74</v>
      </c>
      <c r="F49" s="214">
        <v>13</v>
      </c>
      <c r="G49" s="215">
        <v>10</v>
      </c>
      <c r="H49" s="170"/>
      <c r="I49" s="148"/>
    </row>
    <row r="50" spans="1:9" ht="17.25" thickTop="1" x14ac:dyDescent="0.3">
      <c r="B50" s="67"/>
    </row>
    <row r="51" spans="1:9" ht="22.5" x14ac:dyDescent="0.3">
      <c r="A51" s="140"/>
      <c r="B51" s="222" t="s">
        <v>195</v>
      </c>
      <c r="C51" s="225">
        <f>SUM(D51:G51)</f>
        <v>244606</v>
      </c>
      <c r="D51" s="223">
        <f>+D49*D30</f>
        <v>33600</v>
      </c>
      <c r="E51" s="223">
        <f t="shared" ref="E51:G51" si="24">+E49*E30</f>
        <v>52836</v>
      </c>
      <c r="F51" s="223">
        <f t="shared" si="24"/>
        <v>60320</v>
      </c>
      <c r="G51" s="224">
        <f t="shared" si="24"/>
        <v>97850</v>
      </c>
      <c r="H51" s="170"/>
      <c r="I51" s="148"/>
    </row>
    <row r="52" spans="1:9" ht="49.5" x14ac:dyDescent="0.3">
      <c r="A52" s="140"/>
      <c r="B52" s="226" t="s">
        <v>202</v>
      </c>
      <c r="C52" s="227">
        <f ca="1">SUM(D52:G52)</f>
        <v>82775.524333999987</v>
      </c>
      <c r="D52" s="228">
        <f ca="1">+D51-D26+D44+D34</f>
        <v>-9871.3859078697678</v>
      </c>
      <c r="E52" s="228">
        <f t="shared" ref="E52:G52" ca="1" si="25">+E51-E26+E44+E34</f>
        <v>8970.3266471014977</v>
      </c>
      <c r="F52" s="228">
        <f t="shared" ca="1" si="25"/>
        <v>22474.171967245278</v>
      </c>
      <c r="G52" s="229">
        <f t="shared" ca="1" si="25"/>
        <v>61202.411627522975</v>
      </c>
      <c r="H52" s="170"/>
      <c r="I52" s="148" t="s">
        <v>203</v>
      </c>
    </row>
  </sheetData>
  <dataValidations disablePrompts="1" count="1">
    <dataValidation type="list" allowBlank="1" showInputMessage="1" showErrorMessage="1" sqref="A34 A42 A14:A17" xr:uid="{C9BB52E5-1981-4ECA-BB24-E23AADDD011A}">
      <formula1>$A$4:$A$9</formula1>
    </dataValidation>
  </dataValidations>
  <pageMargins left="0.7" right="0.7" top="0.75" bottom="0.75" header="0.3" footer="0.3"/>
  <pageSetup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9"/>
  <sheetViews>
    <sheetView showGridLines="0" zoomScaleNormal="100" workbookViewId="0">
      <pane ySplit="7" topLeftCell="A8" activePane="bottomLeft" state="frozen"/>
      <selection pane="bottomLeft" activeCell="A11" sqref="A11"/>
    </sheetView>
  </sheetViews>
  <sheetFormatPr defaultRowHeight="16.5" x14ac:dyDescent="0.3"/>
  <cols>
    <col min="1" max="1" width="16.125" customWidth="1"/>
    <col min="2" max="2" width="16.875" bestFit="1" customWidth="1"/>
    <col min="3" max="4" width="10.75" customWidth="1"/>
    <col min="5" max="7" width="11.25" customWidth="1"/>
    <col min="8" max="8" width="10.875" customWidth="1"/>
    <col min="9" max="9" width="2.875" customWidth="1"/>
    <col min="10" max="10" width="6.5" customWidth="1"/>
    <col min="11" max="11" width="10.875" customWidth="1"/>
    <col min="12" max="12" width="8.75" customWidth="1"/>
    <col min="13" max="13" width="10.375" customWidth="1"/>
    <col min="14" max="14" width="14" customWidth="1"/>
    <col min="15" max="15" width="2" customWidth="1"/>
    <col min="16" max="16" width="8.625" bestFit="1" customWidth="1"/>
    <col min="17" max="17" width="10.125" customWidth="1"/>
    <col min="18" max="18" width="8.875" customWidth="1"/>
    <col min="19" max="19" width="11" customWidth="1"/>
    <col min="20" max="20" width="9.625" bestFit="1" customWidth="1"/>
    <col min="21" max="66" width="9.25" customWidth="1"/>
  </cols>
  <sheetData>
    <row r="1" spans="1:20" x14ac:dyDescent="0.3">
      <c r="B1" s="28"/>
      <c r="C1" s="29"/>
      <c r="D1" s="29"/>
      <c r="E1" s="29"/>
      <c r="F1" s="29"/>
      <c r="G1" s="29"/>
      <c r="H1" s="30"/>
    </row>
    <row r="2" spans="1:20" x14ac:dyDescent="0.3">
      <c r="B2" s="31"/>
      <c r="C2" s="94"/>
      <c r="D2" s="27" t="s">
        <v>81</v>
      </c>
      <c r="E2" s="36">
        <v>0.03</v>
      </c>
      <c r="F2" s="94"/>
      <c r="G2" s="94"/>
      <c r="H2" s="32"/>
    </row>
    <row r="3" spans="1:20" x14ac:dyDescent="0.3">
      <c r="B3" s="31"/>
      <c r="C3" s="94"/>
      <c r="D3" s="27" t="s">
        <v>37</v>
      </c>
      <c r="E3" s="36">
        <v>0.35299999999999998</v>
      </c>
      <c r="F3" s="94"/>
      <c r="G3" s="94"/>
      <c r="H3" s="32"/>
    </row>
    <row r="4" spans="1:20" ht="17.25" thickBot="1" x14ac:dyDescent="0.35">
      <c r="B4" s="33"/>
      <c r="C4" s="34"/>
      <c r="D4" s="34"/>
      <c r="E4" s="34"/>
      <c r="F4" s="34"/>
      <c r="G4" s="34"/>
      <c r="H4" s="35"/>
    </row>
    <row r="6" spans="1:20" ht="23.25" thickBot="1" x14ac:dyDescent="0.4">
      <c r="A6" s="48" t="s">
        <v>43</v>
      </c>
      <c r="J6" s="26" t="s">
        <v>33</v>
      </c>
      <c r="K6" s="39"/>
      <c r="L6" s="39"/>
      <c r="M6" s="39"/>
      <c r="N6" s="40"/>
      <c r="P6" s="45" t="s">
        <v>35</v>
      </c>
      <c r="Q6" s="46"/>
      <c r="R6" s="46"/>
      <c r="S6" s="46"/>
      <c r="T6" s="47"/>
    </row>
    <row r="7" spans="1:20" ht="75.75" thickTop="1" x14ac:dyDescent="0.3">
      <c r="A7" s="25" t="s">
        <v>28</v>
      </c>
      <c r="B7" s="25" t="s">
        <v>31</v>
      </c>
      <c r="C7" s="25" t="s">
        <v>32</v>
      </c>
      <c r="D7" s="25" t="s">
        <v>82</v>
      </c>
      <c r="E7" s="25" t="str">
        <f>"Fringe Benefits @ "&amp;TEXT(E3,"0.##%")</f>
        <v>Fringe Benefits @ 35.3%</v>
      </c>
      <c r="F7" s="100" t="s">
        <v>83</v>
      </c>
      <c r="G7" s="99" t="s">
        <v>84</v>
      </c>
      <c r="H7" s="41" t="s">
        <v>85</v>
      </c>
      <c r="J7" s="84" t="s">
        <v>206</v>
      </c>
      <c r="K7" s="84" t="s">
        <v>207</v>
      </c>
      <c r="L7" s="84" t="s">
        <v>209</v>
      </c>
      <c r="M7" s="84" t="s">
        <v>208</v>
      </c>
      <c r="N7" s="54" t="s">
        <v>86</v>
      </c>
      <c r="P7" s="43" t="str">
        <f>+J7</f>
        <v>Basic</v>
      </c>
      <c r="Q7" s="43" t="str">
        <f>+K7</f>
        <v>Advanced</v>
      </c>
      <c r="R7" s="43" t="str">
        <f>+L7</f>
        <v>Deluxe</v>
      </c>
      <c r="S7" s="43" t="str">
        <f t="shared" ref="S7" si="0">+M7</f>
        <v>Consulting</v>
      </c>
      <c r="T7" s="44" t="s">
        <v>34</v>
      </c>
    </row>
    <row r="8" spans="1:20" x14ac:dyDescent="0.3">
      <c r="A8" s="22" t="s">
        <v>89</v>
      </c>
      <c r="B8" s="22" t="s">
        <v>92</v>
      </c>
      <c r="C8" s="37">
        <v>74177</v>
      </c>
      <c r="D8" s="58">
        <f t="shared" ref="D8:D21" si="1">+C8*(1+$E$2)</f>
        <v>76402.31</v>
      </c>
      <c r="E8" s="58">
        <f>+D8*$E$3</f>
        <v>26970.015429999999</v>
      </c>
      <c r="F8" s="101">
        <f>SUM(D8:E8)</f>
        <v>103372.32543</v>
      </c>
      <c r="G8" s="95">
        <v>1</v>
      </c>
      <c r="H8" s="63">
        <f>+F8*G8</f>
        <v>103372.32543</v>
      </c>
      <c r="J8" s="55">
        <v>0.1</v>
      </c>
      <c r="K8" s="55">
        <v>0.2</v>
      </c>
      <c r="L8" s="55">
        <v>0.2</v>
      </c>
      <c r="M8" s="55">
        <v>0.5</v>
      </c>
      <c r="N8" s="60">
        <f t="shared" ref="N8:N21" si="2">SUM(J8:M8)</f>
        <v>1</v>
      </c>
      <c r="P8" s="61">
        <f t="shared" ref="P8:P21" si="3">+$H8*J8</f>
        <v>10337.232543</v>
      </c>
      <c r="Q8" s="61">
        <f t="shared" ref="Q8:Q21" si="4">+$H8*K8</f>
        <v>20674.465086</v>
      </c>
      <c r="R8" s="61">
        <f t="shared" ref="R8:R21" si="5">+$H8*L8</f>
        <v>20674.465086</v>
      </c>
      <c r="S8" s="61">
        <f t="shared" ref="S8" si="6">+$H8*M8</f>
        <v>51686.162714999999</v>
      </c>
      <c r="T8" s="64">
        <f>SUM(P8:S8)</f>
        <v>103372.32543</v>
      </c>
    </row>
    <row r="9" spans="1:20" x14ac:dyDescent="0.3">
      <c r="A9" s="22" t="s">
        <v>90</v>
      </c>
      <c r="B9" s="22" t="s">
        <v>93</v>
      </c>
      <c r="C9" s="37">
        <v>80123</v>
      </c>
      <c r="D9" s="58">
        <f t="shared" si="1"/>
        <v>82526.69</v>
      </c>
      <c r="E9" s="58">
        <f>+D9*$E$3</f>
        <v>29131.921569999999</v>
      </c>
      <c r="F9" s="101">
        <f t="shared" ref="F9:F21" si="7">SUM(D9:E9)</f>
        <v>111658.61157000001</v>
      </c>
      <c r="G9" s="95">
        <v>0.8</v>
      </c>
      <c r="H9" s="63">
        <f t="shared" ref="H9:H21" si="8">+F9*G9</f>
        <v>89326.889256000009</v>
      </c>
      <c r="J9" s="55">
        <v>0.1</v>
      </c>
      <c r="K9" s="55">
        <v>0.1</v>
      </c>
      <c r="L9" s="55">
        <v>0.4</v>
      </c>
      <c r="M9" s="55">
        <v>0.4</v>
      </c>
      <c r="N9" s="60">
        <f t="shared" si="2"/>
        <v>1</v>
      </c>
      <c r="P9" s="61">
        <f t="shared" si="3"/>
        <v>8932.6889256000013</v>
      </c>
      <c r="Q9" s="61">
        <f t="shared" si="4"/>
        <v>8932.6889256000013</v>
      </c>
      <c r="R9" s="61">
        <f t="shared" si="5"/>
        <v>35730.755702400005</v>
      </c>
      <c r="S9" s="61">
        <f t="shared" ref="S9:S21" si="9">+$H9*M9</f>
        <v>35730.755702400005</v>
      </c>
      <c r="T9" s="64">
        <f t="shared" ref="T9:T22" si="10">SUM(P9:S9)</f>
        <v>89326.889256000024</v>
      </c>
    </row>
    <row r="10" spans="1:20" x14ac:dyDescent="0.3">
      <c r="A10" s="22" t="s">
        <v>91</v>
      </c>
      <c r="B10" s="22" t="s">
        <v>94</v>
      </c>
      <c r="C10" s="37">
        <v>85055</v>
      </c>
      <c r="D10" s="58">
        <f t="shared" si="1"/>
        <v>87606.650000000009</v>
      </c>
      <c r="E10" s="58">
        <f>+D10*$E$3</f>
        <v>30925.14745</v>
      </c>
      <c r="F10" s="101">
        <f t="shared" si="7"/>
        <v>118531.79745000001</v>
      </c>
      <c r="G10" s="95">
        <v>0.4</v>
      </c>
      <c r="H10" s="63">
        <f t="shared" si="8"/>
        <v>47412.718980000005</v>
      </c>
      <c r="J10" s="55">
        <v>0.25</v>
      </c>
      <c r="K10" s="55">
        <v>0.25</v>
      </c>
      <c r="L10" s="55">
        <v>0.25</v>
      </c>
      <c r="M10" s="55">
        <v>0.25</v>
      </c>
      <c r="N10" s="60">
        <f t="shared" si="2"/>
        <v>1</v>
      </c>
      <c r="P10" s="61">
        <f t="shared" si="3"/>
        <v>11853.179745000001</v>
      </c>
      <c r="Q10" s="61">
        <f t="shared" si="4"/>
        <v>11853.179745000001</v>
      </c>
      <c r="R10" s="61">
        <f t="shared" si="5"/>
        <v>11853.179745000001</v>
      </c>
      <c r="S10" s="61">
        <f t="shared" si="9"/>
        <v>11853.179745000001</v>
      </c>
      <c r="T10" s="64">
        <f t="shared" si="10"/>
        <v>47412.718980000005</v>
      </c>
    </row>
    <row r="11" spans="1:20" x14ac:dyDescent="0.3">
      <c r="A11" s="22" t="s">
        <v>169</v>
      </c>
      <c r="B11" s="22" t="s">
        <v>95</v>
      </c>
      <c r="C11" s="37">
        <v>50000</v>
      </c>
      <c r="D11" s="58">
        <f t="shared" si="1"/>
        <v>51500</v>
      </c>
      <c r="E11" s="58">
        <f>+D11*$E$3</f>
        <v>18179.5</v>
      </c>
      <c r="F11" s="101">
        <f t="shared" si="7"/>
        <v>69679.5</v>
      </c>
      <c r="G11" s="95">
        <v>1</v>
      </c>
      <c r="H11" s="63">
        <f t="shared" si="8"/>
        <v>69679.5</v>
      </c>
      <c r="J11" s="55">
        <v>0.1</v>
      </c>
      <c r="K11" s="55">
        <v>0.2</v>
      </c>
      <c r="L11" s="55">
        <v>0.2</v>
      </c>
      <c r="M11" s="55">
        <v>0.5</v>
      </c>
      <c r="N11" s="60">
        <f t="shared" si="2"/>
        <v>1</v>
      </c>
      <c r="P11" s="61">
        <f t="shared" si="3"/>
        <v>6967.9500000000007</v>
      </c>
      <c r="Q11" s="61">
        <f t="shared" si="4"/>
        <v>13935.900000000001</v>
      </c>
      <c r="R11" s="61">
        <f t="shared" si="5"/>
        <v>13935.900000000001</v>
      </c>
      <c r="S11" s="61">
        <f t="shared" si="9"/>
        <v>34839.75</v>
      </c>
      <c r="T11" s="64">
        <f t="shared" si="10"/>
        <v>69679.5</v>
      </c>
    </row>
    <row r="12" spans="1:20" x14ac:dyDescent="0.3">
      <c r="A12" s="22"/>
      <c r="B12" s="22"/>
      <c r="C12" s="37"/>
      <c r="D12" s="58">
        <f t="shared" si="1"/>
        <v>0</v>
      </c>
      <c r="E12" s="58">
        <f>+D12*$E$3</f>
        <v>0</v>
      </c>
      <c r="F12" s="101">
        <f t="shared" si="7"/>
        <v>0</v>
      </c>
      <c r="G12" s="95">
        <v>0</v>
      </c>
      <c r="H12" s="63">
        <f t="shared" si="8"/>
        <v>0</v>
      </c>
      <c r="J12" s="55"/>
      <c r="K12" s="55"/>
      <c r="L12" s="55"/>
      <c r="M12" s="55"/>
      <c r="N12" s="60">
        <f t="shared" si="2"/>
        <v>0</v>
      </c>
      <c r="P12" s="61">
        <f t="shared" si="3"/>
        <v>0</v>
      </c>
      <c r="Q12" s="61">
        <f t="shared" si="4"/>
        <v>0</v>
      </c>
      <c r="R12" s="61">
        <f t="shared" si="5"/>
        <v>0</v>
      </c>
      <c r="S12" s="61">
        <f t="shared" si="9"/>
        <v>0</v>
      </c>
      <c r="T12" s="64">
        <f t="shared" si="10"/>
        <v>0</v>
      </c>
    </row>
    <row r="13" spans="1:20" x14ac:dyDescent="0.3">
      <c r="A13" s="22"/>
      <c r="B13" s="22"/>
      <c r="C13" s="37"/>
      <c r="D13" s="58">
        <f t="shared" si="1"/>
        <v>0</v>
      </c>
      <c r="E13" s="58">
        <f t="shared" ref="E13:E15" si="11">+D13*$E$3</f>
        <v>0</v>
      </c>
      <c r="F13" s="101">
        <f t="shared" si="7"/>
        <v>0</v>
      </c>
      <c r="G13" s="95">
        <v>0</v>
      </c>
      <c r="H13" s="63">
        <f t="shared" si="8"/>
        <v>0</v>
      </c>
      <c r="J13" s="55"/>
      <c r="K13" s="55"/>
      <c r="L13" s="55"/>
      <c r="M13" s="55"/>
      <c r="N13" s="60">
        <f t="shared" si="2"/>
        <v>0</v>
      </c>
      <c r="P13" s="61">
        <f t="shared" si="3"/>
        <v>0</v>
      </c>
      <c r="Q13" s="61">
        <f t="shared" si="4"/>
        <v>0</v>
      </c>
      <c r="R13" s="61">
        <f t="shared" si="5"/>
        <v>0</v>
      </c>
      <c r="S13" s="61">
        <f t="shared" si="9"/>
        <v>0</v>
      </c>
      <c r="T13" s="64">
        <f t="shared" si="10"/>
        <v>0</v>
      </c>
    </row>
    <row r="14" spans="1:20" x14ac:dyDescent="0.3">
      <c r="A14" s="22"/>
      <c r="B14" s="22"/>
      <c r="C14" s="37"/>
      <c r="D14" s="58">
        <f t="shared" si="1"/>
        <v>0</v>
      </c>
      <c r="E14" s="58">
        <f t="shared" si="11"/>
        <v>0</v>
      </c>
      <c r="F14" s="101">
        <f t="shared" si="7"/>
        <v>0</v>
      </c>
      <c r="G14" s="95">
        <v>0</v>
      </c>
      <c r="H14" s="63">
        <f t="shared" si="8"/>
        <v>0</v>
      </c>
      <c r="J14" s="55"/>
      <c r="K14" s="55"/>
      <c r="L14" s="55"/>
      <c r="M14" s="55"/>
      <c r="N14" s="60">
        <f t="shared" si="2"/>
        <v>0</v>
      </c>
      <c r="P14" s="61">
        <f t="shared" si="3"/>
        <v>0</v>
      </c>
      <c r="Q14" s="61">
        <f t="shared" si="4"/>
        <v>0</v>
      </c>
      <c r="R14" s="61">
        <f t="shared" si="5"/>
        <v>0</v>
      </c>
      <c r="S14" s="61">
        <f t="shared" si="9"/>
        <v>0</v>
      </c>
      <c r="T14" s="64">
        <f t="shared" si="10"/>
        <v>0</v>
      </c>
    </row>
    <row r="15" spans="1:20" x14ac:dyDescent="0.3">
      <c r="A15" s="22"/>
      <c r="B15" s="22"/>
      <c r="C15" s="37"/>
      <c r="D15" s="58">
        <f t="shared" si="1"/>
        <v>0</v>
      </c>
      <c r="E15" s="58">
        <f t="shared" si="11"/>
        <v>0</v>
      </c>
      <c r="F15" s="101">
        <f t="shared" si="7"/>
        <v>0</v>
      </c>
      <c r="G15" s="95">
        <v>0</v>
      </c>
      <c r="H15" s="63">
        <f t="shared" si="8"/>
        <v>0</v>
      </c>
      <c r="J15" s="55"/>
      <c r="K15" s="55"/>
      <c r="L15" s="55"/>
      <c r="M15" s="55"/>
      <c r="N15" s="60">
        <f t="shared" si="2"/>
        <v>0</v>
      </c>
      <c r="P15" s="61">
        <f t="shared" si="3"/>
        <v>0</v>
      </c>
      <c r="Q15" s="61">
        <f t="shared" si="4"/>
        <v>0</v>
      </c>
      <c r="R15" s="61">
        <f t="shared" si="5"/>
        <v>0</v>
      </c>
      <c r="S15" s="61">
        <f t="shared" si="9"/>
        <v>0</v>
      </c>
      <c r="T15" s="64">
        <f t="shared" si="10"/>
        <v>0</v>
      </c>
    </row>
    <row r="16" spans="1:20" hidden="1" x14ac:dyDescent="0.3">
      <c r="A16" s="22"/>
      <c r="B16" s="22"/>
      <c r="C16" s="37"/>
      <c r="D16" s="58">
        <f t="shared" si="1"/>
        <v>0</v>
      </c>
      <c r="E16" s="58">
        <f t="shared" ref="E16:E21" si="12">+D16*$E$3</f>
        <v>0</v>
      </c>
      <c r="F16" s="101">
        <f t="shared" si="7"/>
        <v>0</v>
      </c>
      <c r="G16" s="95">
        <v>0</v>
      </c>
      <c r="H16" s="63">
        <f t="shared" si="8"/>
        <v>0</v>
      </c>
      <c r="J16" s="55"/>
      <c r="K16" s="55"/>
      <c r="L16" s="55"/>
      <c r="M16" s="55"/>
      <c r="N16" s="60">
        <f t="shared" si="2"/>
        <v>0</v>
      </c>
      <c r="P16" s="61">
        <f t="shared" si="3"/>
        <v>0</v>
      </c>
      <c r="Q16" s="61">
        <f t="shared" si="4"/>
        <v>0</v>
      </c>
      <c r="R16" s="61">
        <f t="shared" si="5"/>
        <v>0</v>
      </c>
      <c r="S16" s="61">
        <f t="shared" si="9"/>
        <v>0</v>
      </c>
      <c r="T16" s="64">
        <f t="shared" si="10"/>
        <v>0</v>
      </c>
    </row>
    <row r="17" spans="1:20" hidden="1" x14ac:dyDescent="0.3">
      <c r="A17" s="22"/>
      <c r="B17" s="22"/>
      <c r="C17" s="37"/>
      <c r="D17" s="58">
        <f t="shared" si="1"/>
        <v>0</v>
      </c>
      <c r="E17" s="58">
        <f t="shared" si="12"/>
        <v>0</v>
      </c>
      <c r="F17" s="101">
        <f t="shared" si="7"/>
        <v>0</v>
      </c>
      <c r="G17" s="95">
        <v>0</v>
      </c>
      <c r="H17" s="63">
        <f t="shared" si="8"/>
        <v>0</v>
      </c>
      <c r="J17" s="55"/>
      <c r="K17" s="55"/>
      <c r="L17" s="55"/>
      <c r="M17" s="55"/>
      <c r="N17" s="60">
        <f t="shared" si="2"/>
        <v>0</v>
      </c>
      <c r="P17" s="61">
        <f t="shared" si="3"/>
        <v>0</v>
      </c>
      <c r="Q17" s="61">
        <f t="shared" si="4"/>
        <v>0</v>
      </c>
      <c r="R17" s="61">
        <f t="shared" si="5"/>
        <v>0</v>
      </c>
      <c r="S17" s="61">
        <f t="shared" si="9"/>
        <v>0</v>
      </c>
      <c r="T17" s="64">
        <f t="shared" si="10"/>
        <v>0</v>
      </c>
    </row>
    <row r="18" spans="1:20" hidden="1" x14ac:dyDescent="0.3">
      <c r="A18" s="22"/>
      <c r="B18" s="22"/>
      <c r="C18" s="37"/>
      <c r="D18" s="58">
        <f t="shared" si="1"/>
        <v>0</v>
      </c>
      <c r="E18" s="58">
        <f t="shared" si="12"/>
        <v>0</v>
      </c>
      <c r="F18" s="101">
        <f t="shared" si="7"/>
        <v>0</v>
      </c>
      <c r="G18" s="95">
        <v>0</v>
      </c>
      <c r="H18" s="63">
        <f t="shared" si="8"/>
        <v>0</v>
      </c>
      <c r="J18" s="55"/>
      <c r="K18" s="55"/>
      <c r="L18" s="55"/>
      <c r="M18" s="55"/>
      <c r="N18" s="60">
        <f t="shared" si="2"/>
        <v>0</v>
      </c>
      <c r="P18" s="61">
        <f t="shared" si="3"/>
        <v>0</v>
      </c>
      <c r="Q18" s="61">
        <f t="shared" si="4"/>
        <v>0</v>
      </c>
      <c r="R18" s="61">
        <f t="shared" si="5"/>
        <v>0</v>
      </c>
      <c r="S18" s="61">
        <f t="shared" si="9"/>
        <v>0</v>
      </c>
      <c r="T18" s="64">
        <f t="shared" si="10"/>
        <v>0</v>
      </c>
    </row>
    <row r="19" spans="1:20" hidden="1" x14ac:dyDescent="0.3">
      <c r="A19" s="22"/>
      <c r="B19" s="22"/>
      <c r="C19" s="37"/>
      <c r="D19" s="58">
        <f t="shared" si="1"/>
        <v>0</v>
      </c>
      <c r="E19" s="58">
        <f t="shared" si="12"/>
        <v>0</v>
      </c>
      <c r="F19" s="101">
        <f t="shared" si="7"/>
        <v>0</v>
      </c>
      <c r="G19" s="95">
        <v>0</v>
      </c>
      <c r="H19" s="63">
        <f t="shared" si="8"/>
        <v>0</v>
      </c>
      <c r="J19" s="55"/>
      <c r="K19" s="55"/>
      <c r="L19" s="55"/>
      <c r="M19" s="55"/>
      <c r="N19" s="60">
        <f t="shared" si="2"/>
        <v>0</v>
      </c>
      <c r="P19" s="61">
        <f t="shared" si="3"/>
        <v>0</v>
      </c>
      <c r="Q19" s="61">
        <f t="shared" si="4"/>
        <v>0</v>
      </c>
      <c r="R19" s="61">
        <f t="shared" si="5"/>
        <v>0</v>
      </c>
      <c r="S19" s="61">
        <f t="shared" si="9"/>
        <v>0</v>
      </c>
      <c r="T19" s="64">
        <f t="shared" si="10"/>
        <v>0</v>
      </c>
    </row>
    <row r="20" spans="1:20" hidden="1" x14ac:dyDescent="0.3">
      <c r="A20" s="22"/>
      <c r="B20" s="22"/>
      <c r="C20" s="37"/>
      <c r="D20" s="58">
        <f t="shared" si="1"/>
        <v>0</v>
      </c>
      <c r="E20" s="58">
        <f t="shared" si="12"/>
        <v>0</v>
      </c>
      <c r="F20" s="101">
        <f t="shared" si="7"/>
        <v>0</v>
      </c>
      <c r="G20" s="95">
        <v>0</v>
      </c>
      <c r="H20" s="63">
        <f t="shared" si="8"/>
        <v>0</v>
      </c>
      <c r="J20" s="55"/>
      <c r="K20" s="55"/>
      <c r="L20" s="55"/>
      <c r="M20" s="55"/>
      <c r="N20" s="60">
        <f t="shared" si="2"/>
        <v>0</v>
      </c>
      <c r="P20" s="61">
        <f t="shared" si="3"/>
        <v>0</v>
      </c>
      <c r="Q20" s="61">
        <f t="shared" si="4"/>
        <v>0</v>
      </c>
      <c r="R20" s="61">
        <f t="shared" si="5"/>
        <v>0</v>
      </c>
      <c r="S20" s="61">
        <f t="shared" si="9"/>
        <v>0</v>
      </c>
      <c r="T20" s="64">
        <f t="shared" si="10"/>
        <v>0</v>
      </c>
    </row>
    <row r="21" spans="1:20" ht="17.25" thickBot="1" x14ac:dyDescent="0.35">
      <c r="A21" s="22"/>
      <c r="B21" s="22"/>
      <c r="C21" s="37"/>
      <c r="D21" s="58">
        <f t="shared" si="1"/>
        <v>0</v>
      </c>
      <c r="E21" s="58">
        <f t="shared" si="12"/>
        <v>0</v>
      </c>
      <c r="F21" s="101">
        <f t="shared" si="7"/>
        <v>0</v>
      </c>
      <c r="G21" s="95">
        <v>0</v>
      </c>
      <c r="H21" s="63">
        <f t="shared" si="8"/>
        <v>0</v>
      </c>
      <c r="J21" s="56"/>
      <c r="K21" s="56"/>
      <c r="L21" s="56"/>
      <c r="M21" s="56"/>
      <c r="N21" s="60">
        <f t="shared" si="2"/>
        <v>0</v>
      </c>
      <c r="P21" s="61">
        <f t="shared" si="3"/>
        <v>0</v>
      </c>
      <c r="Q21" s="61">
        <f t="shared" si="4"/>
        <v>0</v>
      </c>
      <c r="R21" s="61">
        <f t="shared" si="5"/>
        <v>0</v>
      </c>
      <c r="S21" s="61">
        <f t="shared" si="9"/>
        <v>0</v>
      </c>
      <c r="T21" s="64">
        <f t="shared" si="10"/>
        <v>0</v>
      </c>
    </row>
    <row r="22" spans="1:20" ht="18" thickTop="1" thickBot="1" x14ac:dyDescent="0.35">
      <c r="A22" s="57" t="s">
        <v>36</v>
      </c>
      <c r="B22" s="49"/>
      <c r="C22" s="59">
        <f>SUM(C8:C21)</f>
        <v>289355</v>
      </c>
      <c r="D22" s="59">
        <f>SUM(D8:D21)</f>
        <v>298035.65000000002</v>
      </c>
      <c r="E22" s="59">
        <f>SUM(E8:E21)</f>
        <v>105206.58444999999</v>
      </c>
      <c r="F22" s="102">
        <f>SUM(F8:F21)</f>
        <v>403242.23444999999</v>
      </c>
      <c r="G22" s="96"/>
      <c r="H22" s="97">
        <f>SUM(H8:H21)</f>
        <v>309791.43366600003</v>
      </c>
      <c r="I22" s="42"/>
      <c r="J22" s="42"/>
      <c r="K22" s="42"/>
      <c r="L22" s="42"/>
      <c r="M22" s="42"/>
      <c r="N22" s="42"/>
      <c r="O22" s="42"/>
      <c r="P22" s="62">
        <f>SUM(P8:P21)</f>
        <v>38091.051213600003</v>
      </c>
      <c r="Q22" s="62">
        <f>SUM(Q8:Q21)</f>
        <v>55396.233756600006</v>
      </c>
      <c r="R22" s="62">
        <f>SUM(R8:R21)</f>
        <v>82194.300533400004</v>
      </c>
      <c r="S22" s="62">
        <f>SUM(S8:S21)</f>
        <v>134109.84816240001</v>
      </c>
      <c r="T22" s="65">
        <f t="shared" si="10"/>
        <v>309791.43366600003</v>
      </c>
    </row>
    <row r="23" spans="1:20" ht="18" thickTop="1" thickBot="1" x14ac:dyDescent="0.35">
      <c r="A23" s="51" t="s">
        <v>44</v>
      </c>
      <c r="B23" s="52"/>
      <c r="C23" s="52"/>
      <c r="D23" s="52"/>
      <c r="E23" s="52"/>
      <c r="F23" s="98"/>
      <c r="G23" s="52"/>
      <c r="H23" s="98"/>
      <c r="I23" s="52"/>
      <c r="J23" s="52"/>
      <c r="K23" s="52"/>
      <c r="L23" s="52"/>
      <c r="M23" s="52"/>
      <c r="N23" s="52"/>
      <c r="O23" s="52"/>
      <c r="P23" s="53">
        <f>+P22/$T$22</f>
        <v>0.12295708361861182</v>
      </c>
      <c r="Q23" s="53">
        <f t="shared" ref="Q23:S23" si="13">+Q22/$T$22</f>
        <v>0.1788178359261062</v>
      </c>
      <c r="R23" s="53">
        <f t="shared" si="13"/>
        <v>0.2653214117663994</v>
      </c>
      <c r="S23" s="53">
        <f t="shared" si="13"/>
        <v>0.43290366868888258</v>
      </c>
      <c r="T23" s="50"/>
    </row>
    <row r="24" spans="1:20" ht="17.25" thickTop="1" x14ac:dyDescent="0.3"/>
    <row r="29" spans="1:20" x14ac:dyDescent="0.3">
      <c r="N29" s="103"/>
    </row>
  </sheetData>
  <conditionalFormatting sqref="N8:N21">
    <cfRule type="expression" dxfId="1" priority="1">
      <formula>AND(H8&lt;&gt;0,N8&lt;&gt;1)</formula>
    </cfRule>
  </conditionalFormatting>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AFBB-0FA2-43F9-9615-4A32B46FC113}">
  <sheetPr>
    <pageSetUpPr fitToPage="1"/>
  </sheetPr>
  <dimension ref="A1:AK26"/>
  <sheetViews>
    <sheetView showGridLines="0" zoomScaleNormal="100" workbookViewId="0">
      <selection activeCell="G12" sqref="G12"/>
    </sheetView>
  </sheetViews>
  <sheetFormatPr defaultRowHeight="16.5" outlineLevelRow="2" outlineLevelCol="1" x14ac:dyDescent="0.3"/>
  <cols>
    <col min="1" max="1" width="11.125" style="113" customWidth="1"/>
    <col min="2" max="2" width="14.75" style="113" customWidth="1"/>
    <col min="3" max="3" width="7" style="113" customWidth="1"/>
    <col min="4" max="4" width="9" style="113"/>
    <col min="5" max="6" width="9.5" style="113" customWidth="1"/>
    <col min="7" max="7" width="9.125" style="113" customWidth="1"/>
    <col min="8" max="14" width="9" style="113" hidden="1" customWidth="1" outlineLevel="1"/>
    <col min="15" max="15" width="36.375" style="113" customWidth="1" collapsed="1"/>
    <col min="16" max="22" width="9" style="113" hidden="1" customWidth="1" outlineLevel="1"/>
    <col min="23" max="23" width="12" style="113" hidden="1" customWidth="1" outlineLevel="1"/>
    <col min="24" max="24" width="18.375" style="113" hidden="1" customWidth="1" outlineLevel="1"/>
    <col min="25" max="28" width="9" style="113" hidden="1" customWidth="1" outlineLevel="1"/>
    <col min="29" max="29" width="15.875" style="113" customWidth="1" collapsed="1"/>
    <col min="30" max="30" width="21.75" style="113" bestFit="1" customWidth="1"/>
    <col min="31" max="31" width="12.125" style="113" bestFit="1" customWidth="1"/>
    <col min="32" max="32" width="12" style="113" customWidth="1"/>
    <col min="33" max="33" width="10.375" style="113" customWidth="1"/>
    <col min="34" max="34" width="12.25" style="113" customWidth="1"/>
    <col min="35" max="35" width="11.875" style="113" customWidth="1"/>
    <col min="36" max="37" width="9.75" style="113" customWidth="1"/>
    <col min="38" max="16384" width="9" style="113"/>
  </cols>
  <sheetData>
    <row r="1" spans="29:37" s="106" customFormat="1" ht="20.25" outlineLevel="1" thickBot="1" x14ac:dyDescent="0.35">
      <c r="AC1" s="104"/>
      <c r="AD1" s="105" t="s">
        <v>98</v>
      </c>
      <c r="AE1" s="105"/>
      <c r="AF1" s="105"/>
      <c r="AG1" s="105"/>
      <c r="AH1" s="105"/>
      <c r="AI1" s="105"/>
      <c r="AJ1" s="122"/>
      <c r="AK1" s="123"/>
    </row>
    <row r="2" spans="29:37" s="106" customFormat="1" ht="20.25" outlineLevel="1" thickTop="1" x14ac:dyDescent="0.3">
      <c r="AC2" s="107"/>
      <c r="AD2" s="119"/>
      <c r="AE2" s="119"/>
      <c r="AF2" s="119"/>
      <c r="AG2" s="119"/>
      <c r="AH2" s="119"/>
      <c r="AI2" s="130" t="s">
        <v>99</v>
      </c>
      <c r="AJ2" s="133"/>
      <c r="AK2" s="134"/>
    </row>
    <row r="3" spans="29:37" s="106" customFormat="1" ht="19.5" outlineLevel="1" x14ac:dyDescent="0.3">
      <c r="AC3" s="120"/>
      <c r="AD3" s="108"/>
      <c r="AE3" s="108"/>
      <c r="AF3" s="108"/>
      <c r="AG3" s="108"/>
      <c r="AH3" s="109" t="s">
        <v>59</v>
      </c>
      <c r="AI3" s="131">
        <f>SUM(AH18:AH947)</f>
        <v>75364.490000000005</v>
      </c>
      <c r="AJ3" s="133"/>
      <c r="AK3" s="134"/>
    </row>
    <row r="4" spans="29:37" s="106" customFormat="1" ht="19.5" outlineLevel="1" x14ac:dyDescent="0.3">
      <c r="AC4" s="120"/>
      <c r="AD4" s="108"/>
      <c r="AE4" s="108"/>
      <c r="AF4" s="108"/>
      <c r="AG4" s="108"/>
      <c r="AH4" s="109" t="s">
        <v>101</v>
      </c>
      <c r="AI4" s="230">
        <f>SUM(AJ18:AJ947)</f>
        <v>31875.586000000003</v>
      </c>
      <c r="AJ4" s="133"/>
      <c r="AK4" s="134"/>
    </row>
    <row r="5" spans="29:37" s="106" customFormat="1" ht="20.25" outlineLevel="1" thickBot="1" x14ac:dyDescent="0.35">
      <c r="AC5" s="120"/>
      <c r="AD5" s="108"/>
      <c r="AE5" s="108"/>
      <c r="AF5" s="108"/>
      <c r="AG5" s="108"/>
      <c r="AH5" s="109" t="s">
        <v>60</v>
      </c>
      <c r="AI5" s="132">
        <f>SUM(AK18:AK947)</f>
        <v>34</v>
      </c>
      <c r="AJ5" s="133"/>
      <c r="AK5" s="134"/>
    </row>
    <row r="6" spans="29:37" s="106" customFormat="1" ht="21" outlineLevel="1" thickTop="1" thickBot="1" x14ac:dyDescent="0.35">
      <c r="AC6" s="233"/>
      <c r="AD6" s="119"/>
      <c r="AE6" s="119"/>
      <c r="AF6" s="119"/>
      <c r="AG6" s="119"/>
      <c r="AH6" s="119"/>
      <c r="AI6" s="119"/>
      <c r="AJ6" s="119"/>
      <c r="AK6" s="134"/>
    </row>
    <row r="7" spans="29:37" s="106" customFormat="1" ht="20.25" outlineLevel="1" thickTop="1" x14ac:dyDescent="0.3">
      <c r="AC7" s="233"/>
      <c r="AD7" s="242"/>
      <c r="AE7" s="246"/>
      <c r="AF7" s="237">
        <v>1</v>
      </c>
      <c r="AG7" s="237">
        <f>+AF7+1</f>
        <v>2</v>
      </c>
      <c r="AH7" s="237">
        <f t="shared" ref="AH7" si="0">+AG7+1</f>
        <v>3</v>
      </c>
      <c r="AI7" s="237">
        <f t="shared" ref="AI7" si="1">+AH7+1</f>
        <v>4</v>
      </c>
      <c r="AJ7" s="119"/>
      <c r="AK7" s="134"/>
    </row>
    <row r="8" spans="29:37" s="106" customFormat="1" ht="19.5" outlineLevel="1" x14ac:dyDescent="0.3">
      <c r="AC8" s="236"/>
      <c r="AD8" s="241"/>
      <c r="AE8" s="247" t="s">
        <v>34</v>
      </c>
      <c r="AF8" s="238" t="str">
        <f ca="1">OFFSET('S&amp;W'!$J$7,0,AF7-1,1,1)</f>
        <v>Basic</v>
      </c>
      <c r="AG8" s="238" t="str">
        <f ca="1">OFFSET('S&amp;W'!$J$7,0,AG7-1,1,1)</f>
        <v>Advanced</v>
      </c>
      <c r="AH8" s="238" t="str">
        <f ca="1">OFFSET('S&amp;W'!$J$7,0,AH7-1,1,1)</f>
        <v>Deluxe</v>
      </c>
      <c r="AI8" s="238" t="str">
        <f ca="1">OFFSET('S&amp;W'!$J$7,0,AI7-1,1,1)</f>
        <v>Consulting</v>
      </c>
      <c r="AJ8" s="119"/>
      <c r="AK8" s="134"/>
    </row>
    <row r="9" spans="29:37" s="106" customFormat="1" ht="19.5" outlineLevel="1" x14ac:dyDescent="0.3">
      <c r="AC9" s="233" t="s">
        <v>212</v>
      </c>
      <c r="AD9" s="251"/>
      <c r="AE9" s="248">
        <f ca="1">SUM(AF9:AJ9)</f>
        <v>17698.214</v>
      </c>
      <c r="AF9" s="245">
        <f ca="1">SUMIFS($AJ$18:$AJ$204,$B$18:$B$204,AF$8)</f>
        <v>9639.4380000000001</v>
      </c>
      <c r="AG9" s="245">
        <f t="shared" ref="AG9:AI9" ca="1" si="2">SUMIFS($AJ$18:$AJ$204,$B$18:$B$204,AG$8)</f>
        <v>0</v>
      </c>
      <c r="AH9" s="245">
        <f t="shared" ca="1" si="2"/>
        <v>8058.7759999999998</v>
      </c>
      <c r="AI9" s="245">
        <f t="shared" ca="1" si="2"/>
        <v>0</v>
      </c>
      <c r="AJ9" s="119"/>
      <c r="AK9" s="134"/>
    </row>
    <row r="10" spans="29:37" s="106" customFormat="1" ht="19.5" outlineLevel="2" x14ac:dyDescent="0.3">
      <c r="AC10" s="233">
        <v>1</v>
      </c>
      <c r="AD10" s="252" t="str">
        <f ca="1">IFERROR(OFFSET('Rate Calculations'!$B$3,MATCH(AC10,'Rate Calculations'!$A$3:$A$10,0)-2,0,1,1),"")</f>
        <v># of Billing Units</v>
      </c>
      <c r="AE10" s="249">
        <f t="shared" ref="AE10:AE15" si="3">SUM(AF10:AJ10)</f>
        <v>5928.6859999999997</v>
      </c>
      <c r="AF10" s="239">
        <f>IFERROR(SUMIFS($AJ$18:$AJ$204,$B$18:$B$204,$AC10)*VLOOKUP($AC10,'Rate Calculations'!$A$3:$H$10,AF$7+3,FALSE),0)</f>
        <v>764.15539674319575</v>
      </c>
      <c r="AG10" s="239">
        <f>IFERROR(SUMIFS($AJ$18:$AJ$204,$B$18:$B$204,$AC10)*VLOOKUP($AC10,'Rate Calculations'!$A$3:$H$10,AG$7+3,FALSE),0)</f>
        <v>243.57453271189365</v>
      </c>
      <c r="AH10" s="239">
        <f>IFERROR(SUMIFS($AJ$18:$AJ$204,$B$18:$B$204,$AC10)*VLOOKUP($AC10,'Rate Calculations'!$A$3:$H$10,AH$7+3,FALSE),0)</f>
        <v>1582.8933218251912</v>
      </c>
      <c r="AI10" s="239">
        <f>IFERROR(SUMIFS($AJ$18:$AJ$204,$B$18:$B$204,$AC10)*VLOOKUP($AC10,'Rate Calculations'!$A$3:$H$10,AI$7+3,FALSE),0)</f>
        <v>3338.0627487197189</v>
      </c>
      <c r="AJ10" s="119"/>
      <c r="AK10" s="134"/>
    </row>
    <row r="11" spans="29:37" s="106" customFormat="1" ht="19.5" outlineLevel="2" x14ac:dyDescent="0.3">
      <c r="AC11" s="233">
        <f>+AC10+1</f>
        <v>2</v>
      </c>
      <c r="AD11" s="252" t="str">
        <f ca="1">IFERROR(OFFSET('Rate Calculations'!$B$3,MATCH(AC11,'Rate Calculations'!$A$3:$A$10,0)-2,0,1,1),"")</f>
        <v># of Consulting Hours</v>
      </c>
      <c r="AE11" s="249">
        <f t="shared" si="3"/>
        <v>8248.6859999999997</v>
      </c>
      <c r="AF11" s="239">
        <f>IFERROR(SUMIFS($AJ$18:$AJ$204,$B$18:$B$204,$AC11)*VLOOKUP($AC11,'Rate Calculations'!$A$3:$H$10,AF$7+3,FALSE),0)</f>
        <v>2356.7674285714284</v>
      </c>
      <c r="AG11" s="239">
        <f>IFERROR(SUMIFS($AJ$18:$AJ$204,$B$18:$B$204,$AC11)*VLOOKUP($AC11,'Rate Calculations'!$A$3:$H$10,AG$7+3,FALSE),0)</f>
        <v>1472.9796428571428</v>
      </c>
      <c r="AH11" s="239">
        <f>IFERROR(SUMIFS($AJ$18:$AJ$204,$B$18:$B$204,$AC11)*VLOOKUP($AC11,'Rate Calculations'!$A$3:$H$10,AH$7+3,FALSE),0)</f>
        <v>1767.5755714285713</v>
      </c>
      <c r="AI11" s="239">
        <f>IFERROR(SUMIFS($AJ$18:$AJ$204,$B$18:$B$204,$AC11)*VLOOKUP($AC11,'Rate Calculations'!$A$3:$H$10,AI$7+3,FALSE),0)</f>
        <v>2651.3633571428572</v>
      </c>
      <c r="AJ11" s="119"/>
      <c r="AK11" s="134"/>
    </row>
    <row r="12" spans="29:37" s="106" customFormat="1" ht="19.5" outlineLevel="2" x14ac:dyDescent="0.3">
      <c r="AC12" s="233">
        <f t="shared" ref="AC12:AC13" si="4">+AC11+1</f>
        <v>3</v>
      </c>
      <c r="AD12" s="252" t="str">
        <f ca="1">IFERROR(OFFSET('Rate Calculations'!$B$3,MATCH(AC12,'Rate Calculations'!$A$3:$A$10,0)-2,0,1,1),"")</f>
        <v>Equipment Hours</v>
      </c>
      <c r="AE12" s="249">
        <f t="shared" si="3"/>
        <v>0</v>
      </c>
      <c r="AF12" s="239">
        <f>IFERROR(SUMIFS($AJ$18:$AJ$204,$B$18:$B$204,$AC12)*VLOOKUP($AC12,'Rate Calculations'!$A$3:$H$10,AF$7+3,FALSE),0)</f>
        <v>0</v>
      </c>
      <c r="AG12" s="239">
        <f>IFERROR(SUMIFS($AJ$18:$AJ$204,$B$18:$B$204,$AC12)*VLOOKUP($AC12,'Rate Calculations'!$A$3:$H$10,AG$7+3,FALSE),0)</f>
        <v>0</v>
      </c>
      <c r="AH12" s="239">
        <f>IFERROR(SUMIFS($AJ$18:$AJ$204,$B$18:$B$204,$AC12)*VLOOKUP($AC12,'Rate Calculations'!$A$3:$H$10,AH$7+3,FALSE),0)</f>
        <v>0</v>
      </c>
      <c r="AI12" s="239">
        <f>IFERROR(SUMIFS($AJ$18:$AJ$204,$B$18:$B$204,$AC12)*VLOOKUP($AC12,'Rate Calculations'!$A$3:$H$10,AI$7+3,FALSE),0)</f>
        <v>0</v>
      </c>
      <c r="AJ12" s="119"/>
      <c r="AK12" s="134"/>
    </row>
    <row r="13" spans="29:37" s="106" customFormat="1" ht="19.5" outlineLevel="2" x14ac:dyDescent="0.3">
      <c r="AC13" s="233">
        <f t="shared" si="4"/>
        <v>4</v>
      </c>
      <c r="AD13" s="252" t="str">
        <f ca="1">IFERROR(OFFSET('Rate Calculations'!$B$3,MATCH(AC13,'Rate Calculations'!$A$3:$A$10,0)-2,0,1,1),"")</f>
        <v/>
      </c>
      <c r="AE13" s="249">
        <f t="shared" si="3"/>
        <v>0</v>
      </c>
      <c r="AF13" s="239">
        <f>IFERROR(SUMIFS($AJ$18:$AJ$204,$B$18:$B$204,$AC13)*VLOOKUP($AC13,'Rate Calculations'!$A$3:$H$10,AF$7+3,FALSE),0)</f>
        <v>0</v>
      </c>
      <c r="AG13" s="239">
        <f>IFERROR(SUMIFS($AJ$18:$AJ$204,$B$18:$B$204,$AC13)*VLOOKUP($AC13,'Rate Calculations'!$A$3:$H$10,AG$7+3,FALSE),0)</f>
        <v>0</v>
      </c>
      <c r="AH13" s="239">
        <f>IFERROR(SUMIFS($AJ$18:$AJ$204,$B$18:$B$204,$AC13)*VLOOKUP($AC13,'Rate Calculations'!$A$3:$H$10,AH$7+3,FALSE),0)</f>
        <v>0</v>
      </c>
      <c r="AI13" s="239">
        <f>IFERROR(SUMIFS($AJ$18:$AJ$204,$B$18:$B$204,$AC13)*VLOOKUP($AC13,'Rate Calculations'!$A$3:$H$10,AI$7+3,FALSE),0)</f>
        <v>0</v>
      </c>
      <c r="AJ13" s="119"/>
      <c r="AK13" s="134"/>
    </row>
    <row r="14" spans="29:37" s="106" customFormat="1" ht="19.5" outlineLevel="1" x14ac:dyDescent="0.3">
      <c r="AC14" s="233" t="s">
        <v>216</v>
      </c>
      <c r="AD14" s="251"/>
      <c r="AE14" s="248">
        <f t="shared" si="3"/>
        <v>14177.371999999999</v>
      </c>
      <c r="AF14" s="245">
        <f>SUM(AF10:AF13)</f>
        <v>3120.9228253146239</v>
      </c>
      <c r="AG14" s="245">
        <f t="shared" ref="AG14:AI14" si="5">SUM(AG10:AG13)</f>
        <v>1716.5541755690365</v>
      </c>
      <c r="AH14" s="245">
        <f t="shared" si="5"/>
        <v>3350.4688932537624</v>
      </c>
      <c r="AI14" s="245">
        <f t="shared" si="5"/>
        <v>5989.4261058625762</v>
      </c>
      <c r="AJ14" s="119"/>
      <c r="AK14" s="134"/>
    </row>
    <row r="15" spans="29:37" s="106" customFormat="1" ht="20.25" outlineLevel="1" thickBot="1" x14ac:dyDescent="0.35">
      <c r="AC15" s="233" t="s">
        <v>34</v>
      </c>
      <c r="AD15" s="243"/>
      <c r="AE15" s="250">
        <f t="shared" ca="1" si="3"/>
        <v>31875.585999999996</v>
      </c>
      <c r="AF15" s="240">
        <f ca="1">AF9+AF14</f>
        <v>12760.360825314623</v>
      </c>
      <c r="AG15" s="240">
        <f t="shared" ref="AG15:AI15" ca="1" si="6">AG9+AG14</f>
        <v>1716.5541755690365</v>
      </c>
      <c r="AH15" s="240">
        <f t="shared" ca="1" si="6"/>
        <v>11409.244893253763</v>
      </c>
      <c r="AI15" s="240">
        <f t="shared" ca="1" si="6"/>
        <v>5989.4261058625762</v>
      </c>
      <c r="AJ15" s="119"/>
      <c r="AK15" s="134"/>
    </row>
    <row r="16" spans="29:37" s="106" customFormat="1" ht="18" outlineLevel="1" thickTop="1" thickBot="1" x14ac:dyDescent="0.35">
      <c r="AC16" s="121"/>
      <c r="AD16" s="253" t="s">
        <v>215</v>
      </c>
      <c r="AE16" s="254">
        <f ca="1">AE15-SUM(AJ18:AJ200)</f>
        <v>0</v>
      </c>
      <c r="AF16" s="110" t="str">
        <f ca="1">IF(AE16&lt;&gt;0,"The totals do not tie, check to make sure all equipment are being allocated","")</f>
        <v/>
      </c>
      <c r="AG16" s="110"/>
      <c r="AH16" s="110"/>
      <c r="AI16" s="110"/>
      <c r="AJ16" s="110"/>
      <c r="AK16" s="111"/>
    </row>
    <row r="17" spans="1:37" s="106" customFormat="1" ht="17.25" thickBot="1" x14ac:dyDescent="0.35">
      <c r="AC17" s="127" t="s">
        <v>162</v>
      </c>
      <c r="AD17" s="128">
        <f t="shared" ref="AD17" si="7">SUBTOTAL(9,AD19:AD948)</f>
        <v>315164.92</v>
      </c>
      <c r="AE17" s="128">
        <f t="shared" ref="AE17:AJ17" si="8">SUBTOTAL(9,AF19:AF948)</f>
        <v>37102.22</v>
      </c>
      <c r="AF17" s="128">
        <f t="shared" si="8"/>
        <v>76920.87</v>
      </c>
      <c r="AG17" s="128">
        <f t="shared" si="8"/>
        <v>75364.490000000005</v>
      </c>
      <c r="AH17" s="128">
        <f t="shared" si="8"/>
        <v>31875.586000000003</v>
      </c>
      <c r="AI17" s="128">
        <f t="shared" si="8"/>
        <v>31875.586000000003</v>
      </c>
      <c r="AJ17" s="129">
        <f t="shared" si="8"/>
        <v>34</v>
      </c>
    </row>
    <row r="18" spans="1:37" ht="120" x14ac:dyDescent="0.3">
      <c r="A18" s="235" t="s">
        <v>213</v>
      </c>
      <c r="B18" s="235" t="s">
        <v>214</v>
      </c>
      <c r="C18" s="112" t="s">
        <v>52</v>
      </c>
      <c r="D18" s="112" t="s">
        <v>51</v>
      </c>
      <c r="E18" s="112" t="s">
        <v>102</v>
      </c>
      <c r="F18" s="112" t="s">
        <v>50</v>
      </c>
      <c r="G18" s="112" t="s">
        <v>49</v>
      </c>
      <c r="H18" s="112" t="s">
        <v>103</v>
      </c>
      <c r="I18" s="112" t="s">
        <v>104</v>
      </c>
      <c r="J18" s="112" t="s">
        <v>105</v>
      </c>
      <c r="K18" s="112" t="s">
        <v>106</v>
      </c>
      <c r="L18" s="112" t="s">
        <v>107</v>
      </c>
      <c r="M18" s="112" t="s">
        <v>108</v>
      </c>
      <c r="N18" s="112" t="s">
        <v>109</v>
      </c>
      <c r="O18" s="112" t="s">
        <v>48</v>
      </c>
      <c r="P18" s="112" t="s">
        <v>110</v>
      </c>
      <c r="Q18" s="112" t="s">
        <v>111</v>
      </c>
      <c r="R18" s="112" t="s">
        <v>112</v>
      </c>
      <c r="S18" s="112" t="s">
        <v>113</v>
      </c>
      <c r="T18" s="112" t="s">
        <v>114</v>
      </c>
      <c r="U18" s="112" t="s">
        <v>115</v>
      </c>
      <c r="V18" s="112" t="s">
        <v>116</v>
      </c>
      <c r="W18" s="112" t="s">
        <v>117</v>
      </c>
      <c r="X18" s="112" t="s">
        <v>118</v>
      </c>
      <c r="Y18" s="112" t="s">
        <v>47</v>
      </c>
      <c r="Z18" s="112" t="s">
        <v>119</v>
      </c>
      <c r="AA18" s="112" t="s">
        <v>120</v>
      </c>
      <c r="AB18" s="112" t="s">
        <v>121</v>
      </c>
      <c r="AC18" s="124" t="s">
        <v>46</v>
      </c>
      <c r="AD18" s="124" t="s">
        <v>45</v>
      </c>
      <c r="AE18" s="124" t="s">
        <v>57</v>
      </c>
      <c r="AF18" s="124" t="s">
        <v>58</v>
      </c>
      <c r="AG18" s="125" t="s">
        <v>59</v>
      </c>
      <c r="AH18" s="124" t="s">
        <v>123</v>
      </c>
      <c r="AI18" s="232" t="s">
        <v>101</v>
      </c>
      <c r="AJ18" s="126" t="s">
        <v>60</v>
      </c>
      <c r="AK18" s="112" t="s">
        <v>122</v>
      </c>
    </row>
    <row r="19" spans="1:37" x14ac:dyDescent="0.3">
      <c r="A19" s="234" t="s">
        <v>210</v>
      </c>
      <c r="B19" s="244" t="s">
        <v>207</v>
      </c>
      <c r="C19" s="113" t="s">
        <v>166</v>
      </c>
      <c r="D19" s="135" t="s">
        <v>172</v>
      </c>
      <c r="E19" s="135" t="s">
        <v>173</v>
      </c>
      <c r="F19" s="113">
        <v>599991</v>
      </c>
      <c r="G19" s="135" t="s">
        <v>174</v>
      </c>
      <c r="L19" s="113" t="s">
        <v>124</v>
      </c>
      <c r="M19" s="113" t="s">
        <v>125</v>
      </c>
      <c r="N19" s="113" t="s">
        <v>126</v>
      </c>
      <c r="O19" s="113" t="s">
        <v>136</v>
      </c>
      <c r="P19" s="113" t="s">
        <v>137</v>
      </c>
      <c r="Q19" s="113" t="s">
        <v>138</v>
      </c>
      <c r="S19" s="113" t="s">
        <v>136</v>
      </c>
      <c r="T19" s="113" t="s">
        <v>139</v>
      </c>
      <c r="U19" s="113" t="s">
        <v>140</v>
      </c>
      <c r="V19" s="113" t="s">
        <v>127</v>
      </c>
      <c r="W19" s="113" t="s">
        <v>128</v>
      </c>
      <c r="X19" s="115">
        <v>42830.512789351851</v>
      </c>
      <c r="Y19" s="114" t="s">
        <v>100</v>
      </c>
      <c r="Z19" s="113">
        <v>4501</v>
      </c>
      <c r="AA19" s="113" t="s">
        <v>129</v>
      </c>
      <c r="AB19" s="113" t="s">
        <v>130</v>
      </c>
      <c r="AC19" s="115">
        <v>42353</v>
      </c>
      <c r="AD19" s="116">
        <v>35998.339999999997</v>
      </c>
      <c r="AE19" s="116">
        <v>35998.339999999997</v>
      </c>
      <c r="AF19" s="116">
        <v>4999.7700000000004</v>
      </c>
      <c r="AG19" s="117">
        <v>11999.44</v>
      </c>
      <c r="AH19" s="116">
        <v>0</v>
      </c>
      <c r="AI19" s="231">
        <v>0</v>
      </c>
      <c r="AJ19" s="118">
        <v>0</v>
      </c>
      <c r="AK19" s="113">
        <v>3</v>
      </c>
    </row>
    <row r="20" spans="1:37" x14ac:dyDescent="0.3">
      <c r="A20" s="234" t="s">
        <v>211</v>
      </c>
      <c r="B20" s="244">
        <v>1</v>
      </c>
      <c r="C20" s="113" t="s">
        <v>166</v>
      </c>
      <c r="D20" s="135" t="s">
        <v>172</v>
      </c>
      <c r="E20" s="135" t="s">
        <v>173</v>
      </c>
      <c r="F20" s="113">
        <v>599992</v>
      </c>
      <c r="G20" s="135" t="s">
        <v>175</v>
      </c>
      <c r="L20" s="113" t="s">
        <v>124</v>
      </c>
      <c r="M20" s="113" t="s">
        <v>125</v>
      </c>
      <c r="N20" s="113" t="s">
        <v>126</v>
      </c>
      <c r="O20" s="113" t="s">
        <v>141</v>
      </c>
      <c r="P20" s="113" t="s">
        <v>137</v>
      </c>
      <c r="Q20" s="113" t="s">
        <v>138</v>
      </c>
      <c r="S20" s="113" t="s">
        <v>136</v>
      </c>
      <c r="T20" s="113" t="s">
        <v>142</v>
      </c>
      <c r="U20" s="113" t="s">
        <v>143</v>
      </c>
      <c r="V20" s="113" t="s">
        <v>127</v>
      </c>
      <c r="W20" s="113" t="s">
        <v>128</v>
      </c>
      <c r="X20" s="115">
        <v>42830.520925925928</v>
      </c>
      <c r="Y20" s="114" t="s">
        <v>100</v>
      </c>
      <c r="Z20" s="113">
        <v>2051</v>
      </c>
      <c r="AA20" s="113" t="s">
        <v>132</v>
      </c>
      <c r="AB20" s="113">
        <v>757</v>
      </c>
      <c r="AC20" s="115">
        <v>42353</v>
      </c>
      <c r="AD20" s="116">
        <v>97260.2</v>
      </c>
      <c r="AE20" s="116">
        <v>97260.2</v>
      </c>
      <c r="AF20" s="116">
        <v>13508.36</v>
      </c>
      <c r="AG20" s="117">
        <v>32420.07</v>
      </c>
      <c r="AH20" s="116">
        <v>0</v>
      </c>
      <c r="AI20" s="231">
        <v>0</v>
      </c>
      <c r="AJ20" s="118">
        <v>0</v>
      </c>
      <c r="AK20" s="113">
        <v>3</v>
      </c>
    </row>
    <row r="21" spans="1:37" x14ac:dyDescent="0.3">
      <c r="A21" s="234" t="s">
        <v>211</v>
      </c>
      <c r="B21" s="244">
        <v>2</v>
      </c>
      <c r="C21" s="113" t="s">
        <v>166</v>
      </c>
      <c r="D21" s="135" t="s">
        <v>172</v>
      </c>
      <c r="E21" s="135" t="s">
        <v>173</v>
      </c>
      <c r="F21" s="113">
        <v>599993</v>
      </c>
      <c r="G21" s="135" t="s">
        <v>176</v>
      </c>
      <c r="L21" s="113" t="s">
        <v>145</v>
      </c>
      <c r="M21" s="113" t="s">
        <v>146</v>
      </c>
      <c r="N21" s="113" t="s">
        <v>126</v>
      </c>
      <c r="O21" s="113" t="s">
        <v>144</v>
      </c>
      <c r="P21" s="113" t="s">
        <v>131</v>
      </c>
      <c r="Q21" s="113" t="s">
        <v>134</v>
      </c>
      <c r="S21" s="113" t="s">
        <v>135</v>
      </c>
      <c r="T21" s="113" t="s">
        <v>147</v>
      </c>
      <c r="U21" s="113" t="s">
        <v>148</v>
      </c>
      <c r="V21" s="113" t="s">
        <v>127</v>
      </c>
      <c r="W21" s="113" t="s">
        <v>128</v>
      </c>
      <c r="X21" s="115">
        <v>42830.099861111114</v>
      </c>
      <c r="Y21" s="114" t="s">
        <v>100</v>
      </c>
      <c r="Z21" s="113">
        <v>2051</v>
      </c>
      <c r="AA21" s="113" t="s">
        <v>132</v>
      </c>
      <c r="AB21" s="113">
        <v>757</v>
      </c>
      <c r="AC21" s="115">
        <v>41877</v>
      </c>
      <c r="AD21" s="116">
        <v>22528.45</v>
      </c>
      <c r="AE21" s="116">
        <v>22528.45</v>
      </c>
      <c r="AF21" s="116">
        <v>0</v>
      </c>
      <c r="AG21" s="117">
        <v>625.79</v>
      </c>
      <c r="AH21" s="116">
        <v>0</v>
      </c>
      <c r="AI21" s="231">
        <v>0</v>
      </c>
      <c r="AJ21" s="118">
        <v>0</v>
      </c>
      <c r="AK21" s="113">
        <v>3</v>
      </c>
    </row>
    <row r="22" spans="1:37" x14ac:dyDescent="0.3">
      <c r="A22" s="234" t="s">
        <v>211</v>
      </c>
      <c r="B22" s="244">
        <v>2</v>
      </c>
      <c r="C22" s="113" t="s">
        <v>166</v>
      </c>
      <c r="D22" s="135" t="s">
        <v>172</v>
      </c>
      <c r="E22" s="135" t="s">
        <v>173</v>
      </c>
      <c r="F22" s="113">
        <v>599994</v>
      </c>
      <c r="G22" s="135" t="s">
        <v>177</v>
      </c>
      <c r="L22" s="113" t="s">
        <v>145</v>
      </c>
      <c r="M22" s="113" t="s">
        <v>146</v>
      </c>
      <c r="N22" s="113" t="s">
        <v>126</v>
      </c>
      <c r="O22" s="113" t="s">
        <v>149</v>
      </c>
      <c r="P22" s="113" t="s">
        <v>137</v>
      </c>
      <c r="Q22" s="113" t="s">
        <v>138</v>
      </c>
      <c r="S22" s="113" t="s">
        <v>133</v>
      </c>
      <c r="T22" s="113" t="s">
        <v>150</v>
      </c>
      <c r="U22" s="113" t="s">
        <v>151</v>
      </c>
      <c r="V22" s="113" t="s">
        <v>127</v>
      </c>
      <c r="W22" s="113" t="s">
        <v>128</v>
      </c>
      <c r="X22" s="115">
        <v>42830.514178240737</v>
      </c>
      <c r="Y22" s="114" t="s">
        <v>100</v>
      </c>
      <c r="Z22" s="113">
        <v>2051</v>
      </c>
      <c r="AA22" s="113" t="s">
        <v>132</v>
      </c>
      <c r="AB22" s="113">
        <v>100</v>
      </c>
      <c r="AC22" s="115">
        <v>42536</v>
      </c>
      <c r="AD22" s="116">
        <v>11600</v>
      </c>
      <c r="AE22" s="116">
        <v>6186.66</v>
      </c>
      <c r="AF22" s="116">
        <v>1353.33</v>
      </c>
      <c r="AG22" s="117">
        <v>2319.9899999999998</v>
      </c>
      <c r="AH22" s="116">
        <v>5413.34</v>
      </c>
      <c r="AI22" s="231">
        <v>2320</v>
      </c>
      <c r="AJ22" s="118">
        <v>2320</v>
      </c>
      <c r="AK22" s="113">
        <v>5</v>
      </c>
    </row>
    <row r="23" spans="1:37" x14ac:dyDescent="0.3">
      <c r="A23" s="234" t="s">
        <v>210</v>
      </c>
      <c r="B23" s="244" t="s">
        <v>209</v>
      </c>
      <c r="C23" s="113" t="s">
        <v>166</v>
      </c>
      <c r="D23" s="135" t="s">
        <v>172</v>
      </c>
      <c r="E23" s="135" t="s">
        <v>173</v>
      </c>
      <c r="F23" s="113">
        <v>599995</v>
      </c>
      <c r="G23" s="135" t="s">
        <v>178</v>
      </c>
      <c r="L23" s="113" t="s">
        <v>145</v>
      </c>
      <c r="M23" s="113" t="s">
        <v>146</v>
      </c>
      <c r="N23" s="113" t="s">
        <v>126</v>
      </c>
      <c r="O23" s="113" t="s">
        <v>152</v>
      </c>
      <c r="P23" s="113" t="s">
        <v>137</v>
      </c>
      <c r="Q23" s="113" t="s">
        <v>138</v>
      </c>
      <c r="S23" s="113" t="s">
        <v>133</v>
      </c>
      <c r="T23" s="113" t="s">
        <v>153</v>
      </c>
      <c r="U23" s="113" t="s">
        <v>154</v>
      </c>
      <c r="V23" s="113" t="s">
        <v>127</v>
      </c>
      <c r="W23" s="113" t="s">
        <v>128</v>
      </c>
      <c r="X23" s="115">
        <v>42830.083148148151</v>
      </c>
      <c r="Y23" s="114" t="s">
        <v>100</v>
      </c>
      <c r="Z23" s="113">
        <v>2051</v>
      </c>
      <c r="AA23" s="113" t="s">
        <v>132</v>
      </c>
      <c r="AB23" s="113">
        <v>757</v>
      </c>
      <c r="AC23" s="115">
        <v>42536</v>
      </c>
      <c r="AD23" s="116">
        <v>40293.879999999997</v>
      </c>
      <c r="AE23" s="116">
        <v>21490.07</v>
      </c>
      <c r="AF23" s="116">
        <v>4700.96</v>
      </c>
      <c r="AG23" s="117">
        <v>8058.77</v>
      </c>
      <c r="AH23" s="116">
        <v>18803.810000000001</v>
      </c>
      <c r="AI23" s="231">
        <v>8058.7759999999998</v>
      </c>
      <c r="AJ23" s="118">
        <v>8058.7759999999998</v>
      </c>
      <c r="AK23" s="113">
        <v>5</v>
      </c>
    </row>
    <row r="24" spans="1:37" x14ac:dyDescent="0.3">
      <c r="A24" s="234" t="s">
        <v>210</v>
      </c>
      <c r="B24" s="244" t="s">
        <v>206</v>
      </c>
      <c r="C24" s="113" t="s">
        <v>166</v>
      </c>
      <c r="D24" s="135" t="s">
        <v>172</v>
      </c>
      <c r="E24" s="135" t="s">
        <v>173</v>
      </c>
      <c r="F24" s="113">
        <v>599996</v>
      </c>
      <c r="G24" s="135" t="s">
        <v>179</v>
      </c>
      <c r="L24" s="113" t="s">
        <v>145</v>
      </c>
      <c r="M24" s="113" t="s">
        <v>146</v>
      </c>
      <c r="N24" s="113" t="s">
        <v>126</v>
      </c>
      <c r="O24" s="113" t="s">
        <v>155</v>
      </c>
      <c r="P24" s="113" t="s">
        <v>131</v>
      </c>
      <c r="Q24" s="113" t="s">
        <v>138</v>
      </c>
      <c r="S24" s="113" t="s">
        <v>133</v>
      </c>
      <c r="T24" s="113" t="s">
        <v>156</v>
      </c>
      <c r="U24" s="113" t="s">
        <v>157</v>
      </c>
      <c r="V24" s="113" t="s">
        <v>127</v>
      </c>
      <c r="W24" s="113" t="s">
        <v>128</v>
      </c>
      <c r="X24" s="115">
        <v>42839.236203703702</v>
      </c>
      <c r="Y24" s="114" t="s">
        <v>100</v>
      </c>
      <c r="Z24" s="113">
        <v>4501</v>
      </c>
      <c r="AA24" s="113" t="s">
        <v>129</v>
      </c>
      <c r="AB24" s="113" t="s">
        <v>130</v>
      </c>
      <c r="AC24" s="115">
        <v>42536</v>
      </c>
      <c r="AD24" s="116">
        <v>48197.19</v>
      </c>
      <c r="AE24" s="116">
        <v>25705.17</v>
      </c>
      <c r="AF24" s="116">
        <v>5623</v>
      </c>
      <c r="AG24" s="117">
        <v>9639.43</v>
      </c>
      <c r="AH24" s="116">
        <v>22492.02</v>
      </c>
      <c r="AI24" s="231">
        <v>9639.4380000000001</v>
      </c>
      <c r="AJ24" s="118">
        <v>9639.4380000000001</v>
      </c>
      <c r="AK24" s="113">
        <v>5</v>
      </c>
    </row>
    <row r="25" spans="1:37" x14ac:dyDescent="0.3">
      <c r="A25" s="234" t="s">
        <v>211</v>
      </c>
      <c r="B25" s="244">
        <v>1</v>
      </c>
      <c r="C25" s="113" t="s">
        <v>166</v>
      </c>
      <c r="D25" s="135" t="s">
        <v>172</v>
      </c>
      <c r="E25" s="135" t="s">
        <v>173</v>
      </c>
      <c r="F25" s="113">
        <v>599997</v>
      </c>
      <c r="G25" s="135" t="s">
        <v>180</v>
      </c>
      <c r="L25" s="113" t="s">
        <v>145</v>
      </c>
      <c r="M25" s="113" t="s">
        <v>146</v>
      </c>
      <c r="N25" s="113" t="s">
        <v>159</v>
      </c>
      <c r="O25" s="113" t="s">
        <v>158</v>
      </c>
      <c r="P25" s="113" t="s">
        <v>131</v>
      </c>
      <c r="S25" s="113" t="s">
        <v>133</v>
      </c>
      <c r="T25" s="113" t="s">
        <v>153</v>
      </c>
      <c r="U25" s="113" t="s">
        <v>160</v>
      </c>
      <c r="V25" s="113" t="s">
        <v>127</v>
      </c>
      <c r="W25" s="113" t="s">
        <v>128</v>
      </c>
      <c r="X25" s="115">
        <v>42893.794363425928</v>
      </c>
      <c r="Y25" s="114" t="s">
        <v>100</v>
      </c>
      <c r="Z25" s="113">
        <v>2051</v>
      </c>
      <c r="AA25" s="113" t="s">
        <v>132</v>
      </c>
      <c r="AB25" s="113">
        <v>757</v>
      </c>
      <c r="AC25" s="115">
        <v>42552</v>
      </c>
      <c r="AD25" s="116">
        <v>29643.43</v>
      </c>
      <c r="AE25" s="116">
        <v>15315.77</v>
      </c>
      <c r="AF25" s="116">
        <v>3458.4</v>
      </c>
      <c r="AG25" s="117">
        <v>5928.69</v>
      </c>
      <c r="AH25" s="116">
        <v>14327.66</v>
      </c>
      <c r="AI25" s="231">
        <v>5928.6859999999997</v>
      </c>
      <c r="AJ25" s="118">
        <v>5928.6859999999997</v>
      </c>
      <c r="AK25" s="113">
        <v>5</v>
      </c>
    </row>
    <row r="26" spans="1:37" x14ac:dyDescent="0.3">
      <c r="A26" s="234" t="s">
        <v>211</v>
      </c>
      <c r="B26" s="244">
        <v>2</v>
      </c>
      <c r="C26" s="113" t="s">
        <v>166</v>
      </c>
      <c r="D26" s="135" t="s">
        <v>172</v>
      </c>
      <c r="E26" s="135" t="s">
        <v>173</v>
      </c>
      <c r="F26" s="113">
        <v>599998</v>
      </c>
      <c r="G26" s="135" t="s">
        <v>181</v>
      </c>
      <c r="L26" s="113" t="s">
        <v>145</v>
      </c>
      <c r="M26" s="113" t="s">
        <v>146</v>
      </c>
      <c r="N26" s="113" t="s">
        <v>159</v>
      </c>
      <c r="O26" s="113" t="s">
        <v>158</v>
      </c>
      <c r="P26" s="113" t="s">
        <v>131</v>
      </c>
      <c r="S26" s="113" t="s">
        <v>133</v>
      </c>
      <c r="T26" s="113" t="s">
        <v>153</v>
      </c>
      <c r="U26" s="113" t="s">
        <v>161</v>
      </c>
      <c r="V26" s="113" t="s">
        <v>127</v>
      </c>
      <c r="W26" s="113" t="s">
        <v>128</v>
      </c>
      <c r="X26" s="115">
        <v>42893.795266203706</v>
      </c>
      <c r="Y26" s="114" t="s">
        <v>100</v>
      </c>
      <c r="Z26" s="113">
        <v>2051</v>
      </c>
      <c r="AA26" s="113" t="s">
        <v>132</v>
      </c>
      <c r="AB26" s="113">
        <v>757</v>
      </c>
      <c r="AC26" s="115">
        <v>42552</v>
      </c>
      <c r="AD26" s="116">
        <v>29643.43</v>
      </c>
      <c r="AE26" s="116">
        <v>15315.77</v>
      </c>
      <c r="AF26" s="116">
        <v>3458.4</v>
      </c>
      <c r="AG26" s="117">
        <v>5928.69</v>
      </c>
      <c r="AH26" s="116">
        <v>14327.66</v>
      </c>
      <c r="AI26" s="231">
        <v>5928.6859999999997</v>
      </c>
      <c r="AJ26" s="118">
        <v>5928.6859999999997</v>
      </c>
      <c r="AK26" s="113">
        <v>5</v>
      </c>
    </row>
  </sheetData>
  <autoFilter ref="A18:AK18" xr:uid="{7A9A481C-972F-4EC2-A71F-E9B10716573A}"/>
  <conditionalFormatting sqref="AF16:AK16">
    <cfRule type="expression" dxfId="0" priority="1">
      <formula>$AE$16&lt;&gt;0</formula>
    </cfRule>
  </conditionalFormatting>
  <dataValidations count="2">
    <dataValidation type="list" allowBlank="1" showInputMessage="1" showErrorMessage="1" sqref="A19:A26" xr:uid="{2B47317D-13FE-41B5-A488-2FD3954B8FE7}">
      <formula1>"Direct,Allocated"</formula1>
    </dataValidation>
    <dataValidation type="list" showInputMessage="1" showErrorMessage="1" sqref="B19:B26" xr:uid="{88425AE9-1808-45BB-A131-72189880A98A}">
      <formula1>IF(A19="Direct",Units,Allocations)</formula1>
    </dataValidation>
  </dataValidations>
  <pageMargins left="0.7" right="0.7" top="0.75" bottom="0.75" header="0.3" footer="0.3"/>
  <pageSetup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Rate Calculations</vt:lpstr>
      <vt:lpstr>S&amp;W</vt:lpstr>
      <vt:lpstr>Assets</vt:lpstr>
      <vt:lpstr>Assets!Print_Titles</vt:lpstr>
      <vt:lpstr>Salaries</vt:lpstr>
      <vt:lpstr>Total_Staff</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Jay Hull</dc:creator>
  <cp:lastModifiedBy>Nancy J. Abbott</cp:lastModifiedBy>
  <cp:lastPrinted>2019-09-25T14:48:43Z</cp:lastPrinted>
  <dcterms:created xsi:type="dcterms:W3CDTF">2018-09-14T14:13:05Z</dcterms:created>
  <dcterms:modified xsi:type="dcterms:W3CDTF">2020-01-07T20:47:14Z</dcterms:modified>
</cp:coreProperties>
</file>